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docs\rk\"/>
    </mc:Choice>
  </mc:AlternateContent>
  <bookViews>
    <workbookView xWindow="0" yWindow="0" windowWidth="15330" windowHeight="7005"/>
  </bookViews>
  <sheets>
    <sheet name="Usage" sheetId="1" r:id="rId1"/>
    <sheet name="Costs" sheetId="3" r:id="rId2"/>
    <sheet name="Sizing" sheetId="2" r:id="rId3"/>
    <sheet name="Components" sheetId="4" r:id="rId4"/>
    <sheet name="NREL" sheetId="5" r:id="rId5"/>
    <sheet name="SunriseSunset" sheetId="7" r:id="rId6"/>
  </sheets>
  <definedNames>
    <definedName name="AK">NREL!$A$2:$A$18</definedName>
    <definedName name="AL">NREL!$A$19:$A$22</definedName>
    <definedName name="AR">NREL!$A$23:$A$24</definedName>
    <definedName name="AZ">NREL!$A$25:$A$28</definedName>
    <definedName name="CA">NREL!$A$29:$A$38</definedName>
    <definedName name="CO">NREL!$A$39:$A$44</definedName>
    <definedName name="CT">NREL!$A$45:$A$46</definedName>
    <definedName name="DE">NREL!$A$47</definedName>
    <definedName name="FL">NREL!$A$48:$A$54</definedName>
    <definedName name="GA">NREL!$A$55:$A$60</definedName>
    <definedName name="HI">NREL!$A$61:$A$64</definedName>
    <definedName name="IA">NREL!$A$65:$A$68</definedName>
    <definedName name="ID">NREL!$A$69:$A$70</definedName>
    <definedName name="IL">NREL!$A$71:$A$75</definedName>
    <definedName name="IN">NREL!$A$76:$A$79</definedName>
    <definedName name="KS">NREL!$A$80:$A$83</definedName>
    <definedName name="KY">NREL!$A$84:$A$86</definedName>
    <definedName name="LA">NREL!$A$87:$A$90</definedName>
    <definedName name="MA">NREL!$A$91:$A$92</definedName>
    <definedName name="MD">NREL!$A$93</definedName>
    <definedName name="ME">NREL!$A$94:$A$95</definedName>
    <definedName name="MI">NREL!$A$96:$A$104</definedName>
    <definedName name="MN">NREL!$A$105:$A$109</definedName>
    <definedName name="MO">NREL!$A$110:$A$113</definedName>
    <definedName name="MS">NREL!$A$114:$A$115</definedName>
    <definedName name="MT">NREL!$A$116:$A$124</definedName>
    <definedName name="NC">NREL!$A$125:$A$130</definedName>
    <definedName name="ND">NREL!$A$131:$A$133</definedName>
    <definedName name="NE">NREL!$A$134:$A$138</definedName>
    <definedName name="NH">NREL!$A$139</definedName>
    <definedName name="NJ">NREL!$A$140:$A$141</definedName>
    <definedName name="NM">NREL!$A$142:$A$143</definedName>
    <definedName name="NV">NREL!$A$144:$A$149</definedName>
    <definedName name="NY">NREL!$A$150:$A$156</definedName>
    <definedName name="OH">NREL!$A$157:$A$163</definedName>
    <definedName name="OK">NREL!$A$164:$A$165</definedName>
    <definedName name="OR">NREL!$A$166:$A$174</definedName>
    <definedName name="PA">NREL!$A$175:$A$182</definedName>
    <definedName name="PI">NREL!$A$183</definedName>
    <definedName name="PR">NREL!$A$184</definedName>
    <definedName name="RI">NREL!$A$185</definedName>
    <definedName name="SC">NREL!$A$186:$A$188</definedName>
    <definedName name="SD">NREL!$A$189:$A$192</definedName>
    <definedName name="State">NREL!$N$2:$N$53</definedName>
    <definedName name="TN">NREL!$A$193:$A$197</definedName>
    <definedName name="TX">NREL!$A$198:$A$214</definedName>
    <definedName name="UT">NREL!$A$215:$A$216</definedName>
    <definedName name="VA">NREL!$A$217:$A$221</definedName>
    <definedName name="VT">NREL!$A$222</definedName>
    <definedName name="WA">NREL!$A$223:$A$227</definedName>
    <definedName name="WI">NREL!$A$228:$A$232</definedName>
    <definedName name="WV">NREL!$A$233:$A$235</definedName>
    <definedName name="WY">NREL!$A$236:$A$240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7" i="1" l="1"/>
  <c r="H36" i="1" l="1"/>
  <c r="H35" i="1"/>
  <c r="H31" i="1" l="1"/>
  <c r="H30" i="1"/>
  <c r="H33" i="1"/>
  <c r="H27" i="1"/>
  <c r="H26" i="1"/>
  <c r="H25" i="1"/>
  <c r="H24" i="1"/>
  <c r="E6" i="1" l="1"/>
  <c r="H6" i="1" s="1"/>
  <c r="E8" i="1"/>
  <c r="H8" i="1" s="1"/>
  <c r="E11" i="1" l="1"/>
  <c r="H11" i="1" s="1"/>
  <c r="E10" i="1"/>
  <c r="H10" i="1" s="1"/>
  <c r="H13" i="1" l="1"/>
  <c r="H12" i="1"/>
  <c r="E13" i="1"/>
  <c r="E12" i="1"/>
  <c r="E4" i="1"/>
  <c r="H4" i="1" s="1"/>
  <c r="E5" i="1"/>
  <c r="H5" i="1" s="1"/>
  <c r="E9" i="1"/>
  <c r="H9" i="1" s="1"/>
  <c r="H23" i="1"/>
  <c r="H22" i="1"/>
  <c r="H32" i="1"/>
  <c r="A2" i="7"/>
  <c r="B2" i="7" s="1"/>
  <c r="C2" i="7" s="1"/>
  <c r="D2" i="7" l="1"/>
  <c r="F2" i="7" s="1"/>
  <c r="H13" i="2"/>
  <c r="C13" i="2"/>
  <c r="E2" i="7" l="1"/>
  <c r="E13" i="2"/>
  <c r="D13" i="2" l="1"/>
  <c r="F2" i="2"/>
  <c r="E2" i="2"/>
  <c r="D2" i="2"/>
  <c r="C2" i="2"/>
  <c r="A13" i="2"/>
  <c r="E3" i="1"/>
  <c r="H3" i="1" s="1"/>
  <c r="G2" i="2" l="1"/>
  <c r="A4" i="3"/>
  <c r="D13" i="3"/>
  <c r="H80" i="1"/>
  <c r="H79" i="1"/>
  <c r="H78" i="1"/>
  <c r="H96" i="1"/>
  <c r="H95" i="1"/>
  <c r="H94" i="1"/>
  <c r="H93" i="1"/>
  <c r="G9" i="2" l="1"/>
  <c r="G8" i="2"/>
  <c r="F16" i="1"/>
  <c r="H16" i="1" s="1"/>
  <c r="F49" i="1"/>
  <c r="H34" i="1"/>
  <c r="H29" i="1"/>
  <c r="H28" i="1"/>
  <c r="H21" i="1"/>
  <c r="H20" i="1"/>
  <c r="H19" i="1"/>
  <c r="H18" i="1"/>
  <c r="H17" i="1"/>
  <c r="H15" i="1"/>
  <c r="H14" i="1"/>
  <c r="E7" i="1"/>
  <c r="H7" i="1" s="1"/>
  <c r="H119" i="1" l="1"/>
  <c r="H118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2" i="1"/>
  <c r="H91" i="1"/>
  <c r="H90" i="1"/>
  <c r="H89" i="1"/>
  <c r="H88" i="1"/>
  <c r="H87" i="1"/>
  <c r="H86" i="1"/>
  <c r="H85" i="1"/>
  <c r="H84" i="1"/>
  <c r="H83" i="1"/>
  <c r="H82" i="1"/>
  <c r="H81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E2" i="1"/>
  <c r="H2" i="1" s="1"/>
  <c r="G13" i="2" l="1"/>
  <c r="H120" i="1"/>
  <c r="F13" i="2" l="1"/>
  <c r="H121" i="1"/>
  <c r="B9" i="2" s="1"/>
  <c r="D9" i="2" s="1"/>
  <c r="F9" i="2" l="1"/>
  <c r="I9" i="2" s="1"/>
  <c r="H9" i="2"/>
  <c r="B8" i="2"/>
  <c r="D8" i="2" s="1"/>
  <c r="F8" i="2" l="1"/>
  <c r="H8" i="2"/>
  <c r="E8" i="3" l="1"/>
  <c r="C8" i="3"/>
  <c r="B8" i="3"/>
  <c r="I8" i="2"/>
  <c r="A8" i="3" s="1"/>
  <c r="A16" i="3" l="1"/>
  <c r="A15" i="3"/>
  <c r="D8" i="3"/>
  <c r="E15" i="3" l="1"/>
  <c r="C15" i="3"/>
  <c r="D15" i="3" s="1"/>
  <c r="B15" i="3"/>
  <c r="E16" i="3"/>
  <c r="C16" i="3"/>
  <c r="D16" i="3" s="1"/>
  <c r="B16" i="3"/>
  <c r="F3" i="2" l="1"/>
  <c r="B3" i="2" s="1"/>
  <c r="D3" i="2" l="1"/>
  <c r="G3" i="2"/>
  <c r="C3" i="2"/>
  <c r="A3" i="2"/>
  <c r="H3" i="2" s="1"/>
  <c r="E3" i="2"/>
  <c r="A6" i="3" l="1"/>
  <c r="B14" i="3" s="1"/>
  <c r="E7" i="3"/>
  <c r="C11" i="3"/>
  <c r="B7" i="3"/>
  <c r="E6" i="3"/>
  <c r="A7" i="3"/>
  <c r="A14" i="3"/>
  <c r="B6" i="3"/>
  <c r="E14" i="3"/>
  <c r="C7" i="3"/>
  <c r="C14" i="3"/>
  <c r="B11" i="3"/>
  <c r="E11" i="3"/>
  <c r="C6" i="3"/>
  <c r="D14" i="3" l="1"/>
  <c r="A11" i="3"/>
  <c r="D11" i="3" s="1"/>
  <c r="D7" i="3"/>
  <c r="A9" i="3"/>
  <c r="D9" i="3" s="1"/>
  <c r="D6" i="3"/>
  <c r="E9" i="3"/>
  <c r="B10" i="3"/>
  <c r="A10" i="3"/>
  <c r="C9" i="3"/>
  <c r="C10" i="3"/>
  <c r="B9" i="3"/>
  <c r="A12" i="3"/>
  <c r="D12" i="3" s="1"/>
  <c r="E10" i="3"/>
  <c r="D10" i="3" l="1"/>
  <c r="D17" i="3"/>
</calcChain>
</file>

<file path=xl/sharedStrings.xml><?xml version="1.0" encoding="utf-8"?>
<sst xmlns="http://schemas.openxmlformats.org/spreadsheetml/2006/main" count="935" uniqueCount="665">
  <si>
    <t>Device</t>
  </si>
  <si>
    <t>Volts</t>
  </si>
  <si>
    <t>Amps</t>
  </si>
  <si>
    <t>Watts</t>
  </si>
  <si>
    <t>Hours</t>
  </si>
  <si>
    <t>Watt hours</t>
  </si>
  <si>
    <t>LED Lights</t>
  </si>
  <si>
    <t>CPAP machine</t>
  </si>
  <si>
    <t>AM/FM radio</t>
  </si>
  <si>
    <t xml:space="preserve">   Total</t>
  </si>
  <si>
    <t xml:space="preserve">   Ah @ 12v</t>
  </si>
  <si>
    <t xml:space="preserve"> </t>
  </si>
  <si>
    <t>Solar Panel Rated Output</t>
  </si>
  <si>
    <t>Solar Panel Actual Output</t>
  </si>
  <si>
    <t>Battery Type</t>
  </si>
  <si>
    <t>Projected Usage</t>
  </si>
  <si>
    <t>Max Battery Discharge</t>
  </si>
  <si>
    <t>Min Battery Required</t>
  </si>
  <si>
    <t>Inverter Loss</t>
  </si>
  <si>
    <t>Min Battery with Inverter</t>
  </si>
  <si>
    <t>Max days w/o Sun</t>
  </si>
  <si>
    <t>Required Ah</t>
  </si>
  <si>
    <t>Required Ah (w/Inverter)</t>
  </si>
  <si>
    <t>Lead Acid</t>
  </si>
  <si>
    <t>LiFePO4</t>
  </si>
  <si>
    <t>PV Watts</t>
  </si>
  <si>
    <t>Qty</t>
  </si>
  <si>
    <t>Coffee Pot</t>
  </si>
  <si>
    <t>Coffee Maker</t>
  </si>
  <si>
    <t>Toaster</t>
  </si>
  <si>
    <t>Popcorn Popper</t>
  </si>
  <si>
    <t>Blender</t>
  </si>
  <si>
    <t>Microwave</t>
  </si>
  <si>
    <t>Waffle Iron</t>
  </si>
  <si>
    <t>Hot Plate</t>
  </si>
  <si>
    <t>Frying Pan</t>
  </si>
  <si>
    <t>Dishwasher</t>
  </si>
  <si>
    <t>Garbage Disposal</t>
  </si>
  <si>
    <t>Washing Machine</t>
  </si>
  <si>
    <t>Vacuum Cleaner (Upright)</t>
  </si>
  <si>
    <t>Vacuum Cleaner (Handheld)</t>
  </si>
  <si>
    <t>Sewing Machine</t>
  </si>
  <si>
    <t>Iron</t>
  </si>
  <si>
    <t>Clothes Dryer (Electric)</t>
  </si>
  <si>
    <t>Clothes Dryer (Gas)</t>
  </si>
  <si>
    <t>Electric Heater (Portable)</t>
  </si>
  <si>
    <t>Electric Heater (Water Bed)</t>
  </si>
  <si>
    <t>Electirc Heater (Fish Tank)</t>
  </si>
  <si>
    <t>Furnace Blower</t>
  </si>
  <si>
    <t>Air Conditioner (Room)</t>
  </si>
  <si>
    <t>Air Conditioner (Cenrtal Air)</t>
  </si>
  <si>
    <t>Garage Door Opener</t>
  </si>
  <si>
    <t>Ceiling Fan (AC)</t>
  </si>
  <si>
    <t>Table Fan</t>
  </si>
  <si>
    <t>Electric Blanket</t>
  </si>
  <si>
    <t>Blow Dryer</t>
  </si>
  <si>
    <t>Shaver</t>
  </si>
  <si>
    <t>Waterpick</t>
  </si>
  <si>
    <t>Computer (Laptop)</t>
  </si>
  <si>
    <t>Computer (Desktop)</t>
  </si>
  <si>
    <t>Computer Printer</t>
  </si>
  <si>
    <t>CD Player</t>
  </si>
  <si>
    <t>Stereo</t>
  </si>
  <si>
    <t>Clock Radio</t>
  </si>
  <si>
    <t>Satellite Dish</t>
  </si>
  <si>
    <t>Electric Clock</t>
  </si>
  <si>
    <t>Lights (100W Incandescent)</t>
  </si>
  <si>
    <t>Lights (25W Compact Flourescent)</t>
  </si>
  <si>
    <t>Lights (50W DC Incandescent)</t>
  </si>
  <si>
    <t>Lights (40W DC Halogen)</t>
  </si>
  <si>
    <t>Electric Mower</t>
  </si>
  <si>
    <t>Hedge Trimmer</t>
  </si>
  <si>
    <t>Weed Eater</t>
  </si>
  <si>
    <t>1/4in Drill</t>
  </si>
  <si>
    <t>1/2in Drill</t>
  </si>
  <si>
    <t>1in Drill</t>
  </si>
  <si>
    <t>9in Disc Sander</t>
  </si>
  <si>
    <t>3in Belt Sander</t>
  </si>
  <si>
    <t>12in Chain Saw</t>
  </si>
  <si>
    <t>14in Band Saw</t>
  </si>
  <si>
    <t>7.25in Circular Saw</t>
  </si>
  <si>
    <t>8.25in Circular Saw</t>
  </si>
  <si>
    <t>Refrigerator 22 cu ft (1976-86)</t>
  </si>
  <si>
    <t>Refrigerator 22 cu ft (1987-89)</t>
  </si>
  <si>
    <t>Refrigerator 22 cu ft (1990-1992)</t>
  </si>
  <si>
    <t>Refrigerator 22 cu ft (1993-2000)</t>
  </si>
  <si>
    <t>Refrigerator 22 cu ft (2001-04 NOT Energy Star Compliant)</t>
  </si>
  <si>
    <t>Refrigerator 22 cu ft (2001-04 Energy Star Compliant)</t>
  </si>
  <si>
    <t>Refrigerator 22 cu ft (2004-08 Energy Star Compliant)</t>
  </si>
  <si>
    <t>Refrigerator 22 cu ft (2008-10 Energy Star Compliant)</t>
  </si>
  <si>
    <t>Mobile Phone Charger</t>
  </si>
  <si>
    <t>Laptop Charger</t>
  </si>
  <si>
    <t>Days/Week</t>
  </si>
  <si>
    <t>Desc</t>
  </si>
  <si>
    <t>Price</t>
  </si>
  <si>
    <t>Total</t>
  </si>
  <si>
    <t>Links</t>
  </si>
  <si>
    <t>Mission Solar 36v 320w monocrystalline panel</t>
  </si>
  <si>
    <t>https://www.solarblvd.com/products/mission-solar-320-watt-24-volt-panel/</t>
  </si>
  <si>
    <t>8 AWG Solar Cables with MC4 connectors</t>
  </si>
  <si>
    <t>https://www.amazon.com/RENOGY-Female-Connectors-Double-Waterproof/dp/B00H1M8ASE</t>
  </si>
  <si>
    <t>https://www.amazon.com/Victron-BlueSolar-MPPT-Charge-Controller/dp/B011KHV1RM</t>
  </si>
  <si>
    <t>https://www.amazon.com/NPP-Access-Telecom-Battery-Terminals/dp/B01LMHJCAI/</t>
  </si>
  <si>
    <t>https://www.bioennopower.com/collections/12v-series-lifepo4-batteries/products/12v-80ah-lfp-battery-charger</t>
  </si>
  <si>
    <t>Renogy 100w 12v monocrystalline solar panel</t>
  </si>
  <si>
    <t>Solar Panels</t>
  </si>
  <si>
    <t>Charge Controller</t>
  </si>
  <si>
    <t>https://genasun.com/all-products/solar-charge-controllers/for-lead/gv-10-pb-10a-solar-charge-controller/</t>
  </si>
  <si>
    <t>https://genasun.com/all-products/solar-charge-controllers/for-lithium/gv-10-li-lithium-10a-solar-charge-controller/</t>
  </si>
  <si>
    <t>Outback FX60 12-48v MPPT Charge Controller</t>
  </si>
  <si>
    <t>https://www.solarblvd.com/product_info.php?products_id=609</t>
  </si>
  <si>
    <t>http://www.hamradio.com/detail.cfm?pid=H0-014835</t>
  </si>
  <si>
    <t>http://www.hamradio.com/detail.cfm?pid=H0-015367</t>
  </si>
  <si>
    <t>Batteries (LiFePO4)</t>
  </si>
  <si>
    <t>Batteries (Lead Acid)</t>
  </si>
  <si>
    <t>https://www.amazon.com/ExpertPower-EXP12200-Rechargeable-Threaded-Terminals/dp/B00KC39BE6</t>
  </si>
  <si>
    <t>https://www.amazon.com/Universal-Group-Scooters-Electric-WheelChairs/dp/B000W6Z2X2</t>
  </si>
  <si>
    <t>Amerisolar 250w 24v PV panel</t>
  </si>
  <si>
    <t>https://www.solarblvd.com/products/amerisolar-as-6p30-250-24v-250-watt-solar-panel-2/</t>
  </si>
  <si>
    <t>http://www.hamradio.com/detail.cfm?pid=H0-015369</t>
  </si>
  <si>
    <t>http://www.hamradio.com/detail.cfm?pid=H0-015370</t>
  </si>
  <si>
    <t>http://www.hamradio.com/detail.cfm?pid=H0-015372</t>
  </si>
  <si>
    <t>http://www.hamradio.com/detail.cfm?pid=H0-015497</t>
  </si>
  <si>
    <t>http://www.hamradio.com/detail.cfm?pid=H0-015755</t>
  </si>
  <si>
    <t>https://www.bioennopower.com/collections/12v-series-lifepo4-batteries/products/12v-200ah-lfp-battery-abs-blf-12200ts</t>
  </si>
  <si>
    <t>https://www.bioennopower.com/collections/12v-series-lifepo4-batteries/products/12v-300ah-lfp-battery-abs-blf-12300as</t>
  </si>
  <si>
    <t>PV100</t>
  </si>
  <si>
    <t>PV250</t>
  </si>
  <si>
    <t>PV320</t>
  </si>
  <si>
    <t>LFP20</t>
  </si>
  <si>
    <t>LFP30</t>
  </si>
  <si>
    <t>LFP40</t>
  </si>
  <si>
    <t>LFP50</t>
  </si>
  <si>
    <t>LFP60</t>
  </si>
  <si>
    <t>LFP80</t>
  </si>
  <si>
    <t>LFP100</t>
  </si>
  <si>
    <t>LFP150</t>
  </si>
  <si>
    <t>LFP200</t>
  </si>
  <si>
    <t>LFP300</t>
  </si>
  <si>
    <t>AGM20</t>
  </si>
  <si>
    <t>AGM55</t>
  </si>
  <si>
    <t>AGM150</t>
  </si>
  <si>
    <t>CCLI10</t>
  </si>
  <si>
    <t>CCLA10</t>
  </si>
  <si>
    <t>CC30</t>
  </si>
  <si>
    <t>CC60</t>
  </si>
  <si>
    <t>Midnite Solar MNPV6 Combiner Box</t>
  </si>
  <si>
    <t>https://www.solarblvd.com/product_info.php?products_id=2031</t>
  </si>
  <si>
    <t>https://www.solarblvd.com/product_info.php?products_id=2043</t>
  </si>
  <si>
    <t>BR01</t>
  </si>
  <si>
    <t>https://www.solarblvd.com/products/outback-fx80-flexmax-80-charge-controller/</t>
  </si>
  <si>
    <t>Outback FX80 12-48v MPPT Charge Controller</t>
  </si>
  <si>
    <t>CC80</t>
  </si>
  <si>
    <t>CB06</t>
  </si>
  <si>
    <t>CB12</t>
  </si>
  <si>
    <t>Midnite Solar MNPV12 Combiner Box</t>
  </si>
  <si>
    <t>https://www.solarblvd.com/products/midnite-solar-mnpv12-combiner-box/</t>
  </si>
  <si>
    <t>AGM140</t>
  </si>
  <si>
    <t>20Ah sealed lead acid battery</t>
  </si>
  <si>
    <t>55Ah AGM sealed lead acid battery</t>
  </si>
  <si>
    <t>150Ah AGM sealed lead acid battery</t>
  </si>
  <si>
    <t>https://www.thesolarbiz.com/trojan-12-agm-12v-140-ah-battery.html?fee=1&amp;fep=1510&amp;gclid=CjwKEAjwr_rIBRDJzq-Z-LC_2HgSJADoL57HVsDMRDwO08vgfu5EO0WrebZl0da_pIH8B3R5QJtrohoCFsrw_wcB</t>
  </si>
  <si>
    <t>https://www.thesolarbiz.com/trojan-8d-gel12v-225-ah-battery.html?fee=1&amp;fep=1260&amp;gclid=CjwKEAjwr_rIBRDJzq-Z-LC_2HgSJADoL57HIH2LNlfQnqdUmyEtLQUGqr52HOadwo2Pm03kJt1EEBoCDJnw_wcB</t>
  </si>
  <si>
    <t>AGM225</t>
  </si>
  <si>
    <t>225Ah Trojan 8D Gel lead acid battery</t>
  </si>
  <si>
    <t>140Ah Trojan 12-AGM AGM lead acid battery</t>
  </si>
  <si>
    <t>AGM35</t>
  </si>
  <si>
    <t>https://www.amazon.com/gp/product/B001VV0318</t>
  </si>
  <si>
    <t>35Ah sealed lead acid battery</t>
  </si>
  <si>
    <t>20Ah Bioenno LiFePO4 battery</t>
  </si>
  <si>
    <t>30Ah Bioenno LiFePO4 battery</t>
  </si>
  <si>
    <t>40Ah Bioenno LiFePO4 battery</t>
  </si>
  <si>
    <t>50Ah Bioenno LiFePO4 battery</t>
  </si>
  <si>
    <t>60Ah Bioenno LiFePO4 battery</t>
  </si>
  <si>
    <t>80Ah Bioenno LiFePO4 battery</t>
  </si>
  <si>
    <t>100Ah Bioenno LiFePO4 battery</t>
  </si>
  <si>
    <t>150Ah Bioenno LiFePO4 battery</t>
  </si>
  <si>
    <t>200Ah Bioenno LiFePO4 battery</t>
  </si>
  <si>
    <t>300Ah Bioenno LiFePO4 battery</t>
  </si>
  <si>
    <t>AGM100</t>
  </si>
  <si>
    <t>100Ah AGM sealed lead acid battery</t>
  </si>
  <si>
    <t>https://www.amazon.com/Universal-UB121000-45978-100AH-Cycle-Battery/dp/B00S1RT58C</t>
  </si>
  <si>
    <t>https://www.amazon.com/gp/product/B0090MTCF8</t>
  </si>
  <si>
    <t>Y branch MC4 Parallel connector</t>
  </si>
  <si>
    <t>YC01</t>
  </si>
  <si>
    <t>Mobile Radio (Net Control 5w)</t>
  </si>
  <si>
    <t>Mobile Radio (Net Control 10w)</t>
  </si>
  <si>
    <t>Mobile Radio (Net Control 25w)</t>
  </si>
  <si>
    <t>Mobile Radio (Net Control 50w)</t>
  </si>
  <si>
    <t>Mobile Radio (Net Participant 5w)</t>
  </si>
  <si>
    <t>Mobile Radio (Net Participant 10w)</t>
  </si>
  <si>
    <t>Mobile Radio (Net Participant 25w)</t>
  </si>
  <si>
    <t>Mobile Radio (Net Participant 50w)</t>
  </si>
  <si>
    <t>Connecting Components</t>
  </si>
  <si>
    <t>12Ah Bioenno LiFePO4 battery</t>
  </si>
  <si>
    <t>LFP12</t>
  </si>
  <si>
    <t>AGM10</t>
  </si>
  <si>
    <t>10Ah sealed lead acid battery</t>
  </si>
  <si>
    <t>https://www.amazon.com/12v-10Ah-SLA-Rechargeable-Battery/dp/B004WENYYE</t>
  </si>
  <si>
    <t>LFP08</t>
  </si>
  <si>
    <t>8Ah Bioenno LiFePO4 battery</t>
  </si>
  <si>
    <t>http://www.hamradio.com/detail.cfm?pid=H0-014920</t>
  </si>
  <si>
    <t>http://www.hamradio.com/detail.cfm?pid=H0-014860</t>
  </si>
  <si>
    <t>Average
Peak Sun Hours</t>
  </si>
  <si>
    <t>https://www.amazon.com/Blue-Sea-Systems-Surface-Circuit/dp/B0051P01BW</t>
  </si>
  <si>
    <t>Blue Sea 100A inline breaker</t>
  </si>
  <si>
    <t>https://www.amazon.com/InstallGear-Gauge-Line-Fuse-Holder/dp/B01HDX3VH0</t>
  </si>
  <si>
    <t>BR02</t>
  </si>
  <si>
    <t>https://www.amazon.com/Scosche-0400ATCFH16-5-Fuse-Holder-Gauge/dp/B008CVPE8C</t>
  </si>
  <si>
    <t>Inline glass fuse holder</t>
  </si>
  <si>
    <t>Misc wires and connectors</t>
  </si>
  <si>
    <t>http://www.hamradio.com/detail.cfm?pid=H0-008616 and http://www.hamradio.com/detail.cfm?pid=71-002059</t>
  </si>
  <si>
    <t>DVR</t>
  </si>
  <si>
    <t>Ah</t>
  </si>
  <si>
    <t>Part #</t>
  </si>
  <si>
    <t>HDTV 55"</t>
  </si>
  <si>
    <t>HDTV 60"</t>
  </si>
  <si>
    <t>HDTV 32"</t>
  </si>
  <si>
    <t>HDTV 50"</t>
  </si>
  <si>
    <t>HDTV 24"</t>
  </si>
  <si>
    <t>Lights (19w LED)</t>
  </si>
  <si>
    <t>Lights (15w LED)</t>
  </si>
  <si>
    <t>Lights (10w LED)</t>
  </si>
  <si>
    <t>Lights (5w LED)</t>
  </si>
  <si>
    <t>AGM80</t>
  </si>
  <si>
    <t>80Ah AGM sealed lead acid battery</t>
  </si>
  <si>
    <t>https://www.amazon.com/Cycle-Battery-RENOGY-SOLAR-PANELS/dp/B0143K89KA</t>
  </si>
  <si>
    <t>PV50</t>
  </si>
  <si>
    <t>Renogy 50w 12v monocrystalline solar panel</t>
  </si>
  <si>
    <t>https://www.amazon.com/Renogy-Watts-Volts-Monocrystalline-Solar/dp/B00DVPPFDS</t>
  </si>
  <si>
    <t>www.amazon.com/Renogy-Watts-Volts-Monocrystalline-Solar/dp/B009Z6CW7O</t>
  </si>
  <si>
    <t>CCLA05</t>
  </si>
  <si>
    <t>CCLI05</t>
  </si>
  <si>
    <t>Genasun GV-5 5amp Lead Acid MPPT Charge Controller</t>
  </si>
  <si>
    <t>Genasun GV-5 5amp LiFePO4 MPPT Charge Controller</t>
  </si>
  <si>
    <t>Genasun GV-10 10amp Lead Acid MPPT Charge Controller</t>
  </si>
  <si>
    <t>Genasun GV-10 10amp LiFePO4 MPPT Charge Controller</t>
  </si>
  <si>
    <t>https://genasun.com/all-products/solar-charge-controllers/for-lead/gv-5-pb-5a-solar-charge-controller/</t>
  </si>
  <si>
    <t>https://genasun.com/all-products/solar-charge-controllers/for-lithium/gv-5-li-lithium-5a-solar-charge-controller/</t>
  </si>
  <si>
    <t>Inline ATC fuse holder (between PV Panel &amp; Charge Controller)</t>
  </si>
  <si>
    <t>FU10</t>
  </si>
  <si>
    <t>FU15</t>
  </si>
  <si>
    <t>FU20</t>
  </si>
  <si>
    <t>FU25</t>
  </si>
  <si>
    <t>FH01</t>
  </si>
  <si>
    <t>FH02</t>
  </si>
  <si>
    <t>https://www.amazon.com/Cal-Hawk-120-Fuses-Automotive-Truck/dp/B0042XORMI And https://www.amazon.com/Scosche-0400ATCFH16-5-Fuse-Holder-Gauge/dp/B008CVPE8C</t>
  </si>
  <si>
    <t>FU05</t>
  </si>
  <si>
    <t>BR50</t>
  </si>
  <si>
    <t>https://www.amazon.com/MWGears-12V-24V-Protection-Circuit-Breaker/dp/B06Y4BSCY7</t>
  </si>
  <si>
    <t>BR100</t>
  </si>
  <si>
    <t>https://www.amazon.com/MWGears-12V-24V-Protection-Circuit-Breaker/dp/B06Y4BSQ78/</t>
  </si>
  <si>
    <t>BR150</t>
  </si>
  <si>
    <t>BR200</t>
  </si>
  <si>
    <t>https://www.amazon.com/Tocas-Circuit-Breaker-Manual-Waterproof/dp/B01F76VJ3I</t>
  </si>
  <si>
    <t>https://www.amazon.com/Tocas-Circuit-Breaker-Manual-Waterproof/dp/B06Y4172LP</t>
  </si>
  <si>
    <t>FU10B</t>
  </si>
  <si>
    <t>FU20B</t>
  </si>
  <si>
    <t>MB01</t>
  </si>
  <si>
    <t>Small Adjustable PV Panel Mount</t>
  </si>
  <si>
    <t>https://www.amazon.com/Adjustable-Solar-Mounting-Bracket-Off-Grid/dp/B00SBCKLYO</t>
  </si>
  <si>
    <t>https://www.solarblvd.com/products/sunwize-roof-ground-mount-adjustable-53-inch-rail/</t>
  </si>
  <si>
    <t>MB02</t>
  </si>
  <si>
    <t>Medium Adjustable PV Panel Mount</t>
  </si>
  <si>
    <t>MB03</t>
  </si>
  <si>
    <t>Adjustable 2 PV Panel Mount</t>
  </si>
  <si>
    <t>https://www.solarblvd.com/products/sunwize-roof-ground-mount-adjustable-80-inch-rail/</t>
  </si>
  <si>
    <t>12v Inline 50a breaker (Charge Controller -&gt; Battery)</t>
  </si>
  <si>
    <t>12v Inline 100a breaker (Charge Controller -&gt; Battery)</t>
  </si>
  <si>
    <t>12v Inline 150a breaker (Charge Controller -&gt; Battery)</t>
  </si>
  <si>
    <t>10A ATC fuse and inline holder (Charge Controller -&gt; Battery)</t>
  </si>
  <si>
    <t>20A ATC fuse and inline holder (Charge Controller -&gt; Battery)</t>
  </si>
  <si>
    <t>12v Inline 200a breaker (Charge Controller -&gt; Battery)</t>
  </si>
  <si>
    <t>https://www.amazon.com/gp/product/B019YP0GX2</t>
  </si>
  <si>
    <t>MC4 connector with inline 10a fuse (PV Panel -&gt; Charge Controller)</t>
  </si>
  <si>
    <t>MC4 connector with inline 15a fuse (PV Panel -&gt; Charge Controller)</t>
  </si>
  <si>
    <t>MC4 connector with inline 20a fuse (PV Panel -&gt; Charge Controller)</t>
  </si>
  <si>
    <t>https://www.amazon.com/gp/product/B019YP0LM8/</t>
  </si>
  <si>
    <t>https://www.amazon.com/gp/product/B019YP0G1O/</t>
  </si>
  <si>
    <t>https://www.amazon.com/gp/product/B019YP0KSS/</t>
  </si>
  <si>
    <t>MC4 connector with inline 30a fuse (PV Panel -&gt; Charge Controller)</t>
  </si>
  <si>
    <t>MC4 connector with inline 5a fuse (PV Panel -&gt; Charge Controller)</t>
  </si>
  <si>
    <t>BR20</t>
  </si>
  <si>
    <t>BR30</t>
  </si>
  <si>
    <t>BR40</t>
  </si>
  <si>
    <t>12v Inline 20a breaker (Charge Controller -&gt; Battery)</t>
  </si>
  <si>
    <t>12v Inline 30a breaker (Charge Controller -&gt; Battery)</t>
  </si>
  <si>
    <t>12v Inline 40a breaker (Charge Controller -&gt; Battery)</t>
  </si>
  <si>
    <t>https://www.amazon.com/KUMEED-Inline-Circuit-Breaker-Protection/dp/B01H3DKGGY</t>
  </si>
  <si>
    <t>https://www.amazon.com/KUMEED-Inline-Circuit-Breaker-Protection/dp/B01H3DKGFK</t>
  </si>
  <si>
    <t>https://www.amazon.com/KUMEED-Inline-Circuit-Breaker-Protection/dp/B01H3DKGGE</t>
  </si>
  <si>
    <t>City</t>
  </si>
  <si>
    <t>State</t>
  </si>
  <si>
    <t>WBAN</t>
  </si>
  <si>
    <t>Lat</t>
  </si>
  <si>
    <t>Lon</t>
  </si>
  <si>
    <t>Elev</t>
  </si>
  <si>
    <t>Winter</t>
  </si>
  <si>
    <t>Spring</t>
  </si>
  <si>
    <t>Summer</t>
  </si>
  <si>
    <t>Autumn</t>
  </si>
  <si>
    <t>AK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</si>
  <si>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</si>
  <si>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</si>
  <si>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</si>
  <si>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</si>
  <si>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</si>
  <si>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</si>
  <si>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</si>
  <si>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</si>
  <si>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</si>
  <si>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</si>
  <si>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</si>
  <si>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</si>
  <si>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</si>
  <si>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</si>
  <si>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</si>
  <si>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</si>
  <si>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</si>
  <si>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</si>
  <si>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</si>
  <si>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</si>
  <si>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</si>
  <si>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</si>
  <si>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</si>
  <si>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</si>
  <si>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</si>
  <si>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</si>
  <si>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</si>
  <si>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</si>
  <si>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</si>
  <si>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</si>
  <si>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</si>
  <si>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</si>
  <si>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</si>
  <si>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</si>
  <si>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</si>
  <si>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</si>
  <si>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</si>
  <si>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PI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</si>
  <si>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</si>
  <si>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</si>
  <si>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</si>
  <si>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</si>
  <si>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</si>
  <si>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</si>
  <si>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</si>
  <si>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</si>
  <si>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</si>
  <si>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</si>
  <si>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</si>
  <si>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</si>
  <si>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</si>
  <si>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State List</t>
  </si>
  <si>
    <t/>
  </si>
  <si>
    <t>ANNETTE, AK</t>
  </si>
  <si>
    <t>YAKUTAT, AK</t>
  </si>
  <si>
    <t>KODIAK, AK</t>
  </si>
  <si>
    <t>KING SALMON, AK</t>
  </si>
  <si>
    <t>COLD BAY, AK</t>
  </si>
  <si>
    <t>ST PAUL IS., AK</t>
  </si>
  <si>
    <t>FAIRBANKS, AK</t>
  </si>
  <si>
    <t>BIG DELTA, AK</t>
  </si>
  <si>
    <t>GULKANA, AK</t>
  </si>
  <si>
    <t>ANCHORAGE, AK</t>
  </si>
  <si>
    <t>MCGRATH, AK</t>
  </si>
  <si>
    <t>TALKEETNA, AK</t>
  </si>
  <si>
    <t>BETTLES, AK</t>
  </si>
  <si>
    <t>BETHEL, AK</t>
  </si>
  <si>
    <t>KOTZEBUE, AK</t>
  </si>
  <si>
    <t>NOME, AK</t>
  </si>
  <si>
    <t>BARROW, AK</t>
  </si>
  <si>
    <t>HUNTSVILLE, AL</t>
  </si>
  <si>
    <t>BIRMINGHAM, AL</t>
  </si>
  <si>
    <t>MOBILE, AL</t>
  </si>
  <si>
    <t>MONTGOMERY, AL</t>
  </si>
  <si>
    <t>LITTLE ROCK, AR</t>
  </si>
  <si>
    <t>FORT SMITH, AR</t>
  </si>
  <si>
    <t>FLAGSTAFF, AZ</t>
  </si>
  <si>
    <t>TUCSON, AZ</t>
  </si>
  <si>
    <t>PHOENIX, AZ</t>
  </si>
  <si>
    <t>PRESCOTT, AZ</t>
  </si>
  <si>
    <t>LONG BEACH, CA</t>
  </si>
  <si>
    <t>BAKERSFIELD, CA</t>
  </si>
  <si>
    <t>DAGGETT, CA</t>
  </si>
  <si>
    <t>LOS ANGELES, CA</t>
  </si>
  <si>
    <t>SAN DIEGO, CA</t>
  </si>
  <si>
    <t>SACRAMENTO, CA</t>
  </si>
  <si>
    <t>SAN FRANCISCO, CA</t>
  </si>
  <si>
    <t>SANTA MARIA, CA</t>
  </si>
  <si>
    <t>ARCATA, CA</t>
  </si>
  <si>
    <t>FRESNO, CA</t>
  </si>
  <si>
    <t>ALAMOSA, CO</t>
  </si>
  <si>
    <t>EAGLE, CO</t>
  </si>
  <si>
    <t>GRAND JUNCTION, CO</t>
  </si>
  <si>
    <t>COLORADO SPRINGS, CO</t>
  </si>
  <si>
    <t>PUEBLO, CO</t>
  </si>
  <si>
    <t>BOULDER, CO</t>
  </si>
  <si>
    <t>HARTFORD, CT</t>
  </si>
  <si>
    <t>BRIDGEPORT, CT</t>
  </si>
  <si>
    <t>WILMINGTON, DE</t>
  </si>
  <si>
    <t>DAYTONA BEACH, FL</t>
  </si>
  <si>
    <t>KEY WEST, FL</t>
  </si>
  <si>
    <t>MIAMI, FL</t>
  </si>
  <si>
    <t>TAMPA, FL</t>
  </si>
  <si>
    <t>WEST PALM BEACH, FL</t>
  </si>
  <si>
    <t>JACKSONVILLE, FL</t>
  </si>
  <si>
    <t>TALLAHASSEE, FL</t>
  </si>
  <si>
    <t>MACON, GA</t>
  </si>
  <si>
    <t>AUGUSTA, GA</t>
  </si>
  <si>
    <t>SAVANNAH, GA</t>
  </si>
  <si>
    <t>ATHENS, GA</t>
  </si>
  <si>
    <t>ATLANTA, GA</t>
  </si>
  <si>
    <t>COLUMBUS, GA</t>
  </si>
  <si>
    <t>HILO, HI</t>
  </si>
  <si>
    <t>KAHULUI, HI</t>
  </si>
  <si>
    <t>HONOLULU, HI</t>
  </si>
  <si>
    <t>LIHUE, HI</t>
  </si>
  <si>
    <t>DES MOINES, IA</t>
  </si>
  <si>
    <t>MASON CITY, IA</t>
  </si>
  <si>
    <t>SIOUX CITY, IA</t>
  </si>
  <si>
    <t>WATERLOO, IA</t>
  </si>
  <si>
    <t>BOISE, ID</t>
  </si>
  <si>
    <t>POCATELLO, ID</t>
  </si>
  <si>
    <t>PEORIA, IL</t>
  </si>
  <si>
    <t>MOLINE, IL</t>
  </si>
  <si>
    <t>SPRINGFIELD, IL</t>
  </si>
  <si>
    <t>ROCKFORD, IL</t>
  </si>
  <si>
    <t>CHICAGO, IL</t>
  </si>
  <si>
    <t>FORT WAYNE, IN</t>
  </si>
  <si>
    <t>SOUTH BEND, IN</t>
  </si>
  <si>
    <t>EVANSVILLE, IN</t>
  </si>
  <si>
    <t>INDIANAPOLIS, IN</t>
  </si>
  <si>
    <t>WICHITA, KS</t>
  </si>
  <si>
    <t>DODGE CITY, KS</t>
  </si>
  <si>
    <t>TOPEKA, KS</t>
  </si>
  <si>
    <t>GOODLAND, KS</t>
  </si>
  <si>
    <t>COVINGTON, KY</t>
  </si>
  <si>
    <t>LEXINGTON, KY</t>
  </si>
  <si>
    <t>LOUISVILLE, KY</t>
  </si>
  <si>
    <t>LAKE CHARLES, LA</t>
  </si>
  <si>
    <t>NEW ORLEANS, LA</t>
  </si>
  <si>
    <t>SHREVEPORT, LA</t>
  </si>
  <si>
    <t>BATON ROUGE, LA</t>
  </si>
  <si>
    <t>BOSTON, MA</t>
  </si>
  <si>
    <t>WORCHESTER, MA</t>
  </si>
  <si>
    <t>BALTIMORE, MD</t>
  </si>
  <si>
    <t>CARIBOU, ME</t>
  </si>
  <si>
    <t>PORTLAND, ME</t>
  </si>
  <si>
    <t>FLINT, MI</t>
  </si>
  <si>
    <t>LANSING, MI</t>
  </si>
  <si>
    <t>MUSKEGON, MI</t>
  </si>
  <si>
    <t>SAULT STE. MARIE, MI</t>
  </si>
  <si>
    <t>TRAVERSE CITY, MI</t>
  </si>
  <si>
    <t>HOUGHTON, MI</t>
  </si>
  <si>
    <t>DETROIT, MI</t>
  </si>
  <si>
    <t>ALPENA, MI</t>
  </si>
  <si>
    <t>GRAND RAPIDS, MI</t>
  </si>
  <si>
    <t>DULUTH, MN</t>
  </si>
  <si>
    <t>INTERNATIONAL FALLS, MN</t>
  </si>
  <si>
    <t>MINNEAPOLIS, MN</t>
  </si>
  <si>
    <t>ROCHESTER, MN</t>
  </si>
  <si>
    <t>SAINT CLOUD, MN</t>
  </si>
  <si>
    <t>COLUMBIA, MO</t>
  </si>
  <si>
    <t>KANSAS CITY, MO</t>
  </si>
  <si>
    <t>ST. LOUIS, MO</t>
  </si>
  <si>
    <t>SPRINGFIELD, MO</t>
  </si>
  <si>
    <t>JACKSON, MS</t>
  </si>
  <si>
    <t>MERIDIAN, MS</t>
  </si>
  <si>
    <t>BILLINGS, MT</t>
  </si>
  <si>
    <t>LEWISTOWN, MT</t>
  </si>
  <si>
    <t>MILES CITY, MT</t>
  </si>
  <si>
    <t>CUT BANK, MT</t>
  </si>
  <si>
    <t>GREAT FALLS, MT</t>
  </si>
  <si>
    <t>HELENA, MT</t>
  </si>
  <si>
    <t>KALISPELL, MT</t>
  </si>
  <si>
    <t>MISSOULA, MT</t>
  </si>
  <si>
    <t>GLASGOW, MT</t>
  </si>
  <si>
    <t>ASHEVILLE, NC</t>
  </si>
  <si>
    <t>RALEIGH, NC</t>
  </si>
  <si>
    <t>GREENSBORO, NC</t>
  </si>
  <si>
    <t>WILMINGTON, NC</t>
  </si>
  <si>
    <t>CHARLOTTE, NC</t>
  </si>
  <si>
    <t>CAPE HATTERAS, NC</t>
  </si>
  <si>
    <t>FARGO, ND</t>
  </si>
  <si>
    <t>BISMARCK, ND</t>
  </si>
  <si>
    <t>MINOT, ND</t>
  </si>
  <si>
    <t>GRAND ISLAND, NE</t>
  </si>
  <si>
    <t>NORFOLK, NE</t>
  </si>
  <si>
    <t>NORTH PLATTE, NE</t>
  </si>
  <si>
    <t>SCOTTSBLUFF, NE</t>
  </si>
  <si>
    <t>OMAHA, NE</t>
  </si>
  <si>
    <t>CONCORD, NH</t>
  </si>
  <si>
    <t>NEWARK, NJ</t>
  </si>
  <si>
    <t>ATLANTIC CITY, NJ</t>
  </si>
  <si>
    <t>TUCUMCARI, NM</t>
  </si>
  <si>
    <t>ALBUQUERQUE, NM</t>
  </si>
  <si>
    <t>TONOPAH, NV</t>
  </si>
  <si>
    <t>ELY, NV</t>
  </si>
  <si>
    <t>LAS VEGAS, NV</t>
  </si>
  <si>
    <t>RENO, NV</t>
  </si>
  <si>
    <t>ELKO, NV</t>
  </si>
  <si>
    <t>WINNEMUCCA, NV</t>
  </si>
  <si>
    <t>BINGHAMTON, NY</t>
  </si>
  <si>
    <t>BUFFALO, NY</t>
  </si>
  <si>
    <t>ALBANY, NY</t>
  </si>
  <si>
    <t>ROCHESTER, NY</t>
  </si>
  <si>
    <t>SYRACUSE, NY</t>
  </si>
  <si>
    <t>MASSENA, NY</t>
  </si>
  <si>
    <t>NEW YORK CITY, NY</t>
  </si>
  <si>
    <t>CLEVELAND, OH</t>
  </si>
  <si>
    <t>COLUMBUS, OH</t>
  </si>
  <si>
    <t>YOUNGSTOWN, OH</t>
  </si>
  <si>
    <t>MANSFIELD, OH</t>
  </si>
  <si>
    <t>AKRON, OH</t>
  </si>
  <si>
    <t>DAYTON, OH</t>
  </si>
  <si>
    <t>TOLEDO, OH</t>
  </si>
  <si>
    <t>OKLAHOMA CITY, OK</t>
  </si>
  <si>
    <t>TULSA, OK</t>
  </si>
  <si>
    <t>PENDLETON, OR</t>
  </si>
  <si>
    <t>EUGENE, OR</t>
  </si>
  <si>
    <t>MEDFORD, OR</t>
  </si>
  <si>
    <t>PORTLAND, OR</t>
  </si>
  <si>
    <t>REDMOND, OR</t>
  </si>
  <si>
    <t>SALEM, OR</t>
  </si>
  <si>
    <t>NORTH BEND, OR</t>
  </si>
  <si>
    <t>BURNS, OR</t>
  </si>
  <si>
    <t>ASTORIA, OR</t>
  </si>
  <si>
    <t>BRADFORD, PA</t>
  </si>
  <si>
    <t>PHILADELPHIA, PA</t>
  </si>
  <si>
    <t>ALLENTOWN, PA</t>
  </si>
  <si>
    <t>HARRISBURG, PA</t>
  </si>
  <si>
    <t>WILKES-BARRE, PA</t>
  </si>
  <si>
    <t>WILLIAMSPORT, PA</t>
  </si>
  <si>
    <t>ERIE, PA</t>
  </si>
  <si>
    <t>PITTSBURGH, PA</t>
  </si>
  <si>
    <t>GUAM, PI</t>
  </si>
  <si>
    <t>SAN JUAN, PR</t>
  </si>
  <si>
    <t>PROVIDENCE, RI</t>
  </si>
  <si>
    <t>GREENVILLE, SC</t>
  </si>
  <si>
    <t>CHARLESTON, SC</t>
  </si>
  <si>
    <t>COLUMBIA, SC</t>
  </si>
  <si>
    <t>HURON, SD</t>
  </si>
  <si>
    <t>SIOUX FALLS, SD</t>
  </si>
  <si>
    <t>PIERRE, SD</t>
  </si>
  <si>
    <t>RAPID CITY, SD</t>
  </si>
  <si>
    <t>BRISTOL, TN</t>
  </si>
  <si>
    <t>CHATTANOOGA, TN</t>
  </si>
  <si>
    <t>KNOXVILLE, TN</t>
  </si>
  <si>
    <t>MEMPHIS, TN</t>
  </si>
  <si>
    <t>NASHVILLE, TN</t>
  </si>
  <si>
    <t>FORT WORTH, TX</t>
  </si>
  <si>
    <t>VICTORIA, TX</t>
  </si>
  <si>
    <t>PORT ARTHUR, TX</t>
  </si>
  <si>
    <t>BROWNSVILLE, TX</t>
  </si>
  <si>
    <t>SAN ANTONIO, TX</t>
  </si>
  <si>
    <t>CORPUS CHRISTI, TX</t>
  </si>
  <si>
    <t>HOUSTON, TX</t>
  </si>
  <si>
    <t>AUSTIN, TX</t>
  </si>
  <si>
    <t>WACO, TX</t>
  </si>
  <si>
    <t>ABLIENE, TX</t>
  </si>
  <si>
    <t>WICHITA FALLS, TX</t>
  </si>
  <si>
    <t>MIDLAND, TX</t>
  </si>
  <si>
    <t>SAN ANGELO, TX</t>
  </si>
  <si>
    <t>LUBBOCK, TX</t>
  </si>
  <si>
    <t>EL PASO, TX</t>
  </si>
  <si>
    <t>AMARILLO, TX</t>
  </si>
  <si>
    <t>LUFKIN, TX</t>
  </si>
  <si>
    <t>SALT LAKE CITY, UT</t>
  </si>
  <si>
    <t>CEDAR CITY, UT</t>
  </si>
  <si>
    <t>LYNCHBURG, VA</t>
  </si>
  <si>
    <t>NORFOLK, VA</t>
  </si>
  <si>
    <t>RICHMOND, VA</t>
  </si>
  <si>
    <t>ROANOKE, VA</t>
  </si>
  <si>
    <t>STERLING, VA</t>
  </si>
  <si>
    <t>BURLINGTON, VT</t>
  </si>
  <si>
    <t>SPOKANE, WA</t>
  </si>
  <si>
    <t>OLYMPIA, WA</t>
  </si>
  <si>
    <t>SEATTLE, WA</t>
  </si>
  <si>
    <t>YAKIMA, WA</t>
  </si>
  <si>
    <t>QUILLAYUTE, WA</t>
  </si>
  <si>
    <t>MADISON, WI</t>
  </si>
  <si>
    <t>MILWAUKEE, WI</t>
  </si>
  <si>
    <t>GREEN BAY, WI</t>
  </si>
  <si>
    <t>LA CROSSE, WI</t>
  </si>
  <si>
    <t>EAU CLAIRE, WI</t>
  </si>
  <si>
    <t>HUNTINGTON, WV</t>
  </si>
  <si>
    <t>ELKINS, WV</t>
  </si>
  <si>
    <t>CHARLESTON, WV</t>
  </si>
  <si>
    <t>CHEYENNE, WY</t>
  </si>
  <si>
    <t>LANDER, WY</t>
  </si>
  <si>
    <t>ROCK SPRINGS, WY</t>
  </si>
  <si>
    <t>SHERIDAN, WY</t>
  </si>
  <si>
    <t>CASPER, WY</t>
  </si>
  <si>
    <t>Nearest City</t>
  </si>
  <si>
    <t>ST</t>
  </si>
  <si>
    <t>WBAN #</t>
  </si>
  <si>
    <t>Elevation (Feet)</t>
  </si>
  <si>
    <t>The data in this spreadsheet was generated by taking the highest peak sun hours from  the flat plate collector data for each season where</t>
  </si>
  <si>
    <t xml:space="preserve">   Dec to Feb is Winter</t>
  </si>
  <si>
    <t xml:space="preserve">   Mar to May is Spring</t>
  </si>
  <si>
    <t xml:space="preserve">   Jun to Aug is Summer</t>
  </si>
  <si>
    <t xml:space="preserve">   Sep to Nov is Autumn</t>
  </si>
  <si>
    <t xml:space="preserve">   http://rredc.nrel.gov/solar/old_data/nsrdb/1961-1990/redbook/</t>
  </si>
  <si>
    <t>Spring
 Peak Sun Hours*</t>
  </si>
  <si>
    <t>Summer
 Peak Sun Hours*</t>
  </si>
  <si>
    <t>Autumn
 Peak Sun Hours*</t>
  </si>
  <si>
    <t>Winter
 Peak Sun Hours*</t>
  </si>
  <si>
    <t>CBL01</t>
  </si>
  <si>
    <t>CBL02</t>
  </si>
  <si>
    <t>2 AWG Battery Cable (Red)</t>
  </si>
  <si>
    <t>2 AWG Battery Cable (Black)</t>
  </si>
  <si>
    <t>https://www.amazon.com/Camco-47483-2-Gauge-Battery-Assembly/dp/B00JGJGLMM</t>
  </si>
  <si>
    <t>https://www.amazon.com/Camco-47470-2-Gauge-Battery-Assembly/dp/B00JGJGFQY</t>
  </si>
  <si>
    <t>Julian Day</t>
  </si>
  <si>
    <t>Julian Century</t>
  </si>
  <si>
    <t>Geom Mean Anom Sun (deg)</t>
  </si>
  <si>
    <t>Obliq Corr (deg)</t>
  </si>
  <si>
    <t>Sunrise Time (LST)</t>
  </si>
  <si>
    <t>Sunset Time (LST)</t>
  </si>
  <si>
    <t>Sunrise</t>
  </si>
  <si>
    <t>Sunset</t>
  </si>
  <si>
    <t>CC15</t>
  </si>
  <si>
    <t>Victron Energy BlueSolar 75/15 15amp MPPT Charge Controller</t>
  </si>
  <si>
    <t>Victron Energy BlueSolar 100/30 30amp MPPT Charge Controller</t>
  </si>
  <si>
    <t>https://www.amazon.com/Victron-BlueSolar-MPPT-Charge-Controller/dp/B00U3MK0CI</t>
  </si>
  <si>
    <t>Midnite Solar 150VDC MNEPV DIN Mount Breaker</t>
  </si>
  <si>
    <t>https://www.esrl.noaa.gov/gmd/grad/solcalc/NOAA_Solar_Calculations_day.xls</t>
  </si>
  <si>
    <t>Adapted from the NOAA Solar Calculation spreadsheet</t>
  </si>
  <si>
    <t>Peak Sun Hour data downloaded from the National Renewable Energy Labs</t>
  </si>
  <si>
    <t>* Peak Sun Hours is generated from the National Renewable Energy Labs (NREL) data (see the NREL Sheet)</t>
  </si>
  <si>
    <t>Engel MT17 Fridge / Freezer @ 41° F, amb temp 77° F</t>
  </si>
  <si>
    <t>Engel MT45 Fridge / Freezer @ 41° F, amb temp 77° F</t>
  </si>
  <si>
    <t>Refrigerator (22 cu ft)</t>
  </si>
  <si>
    <t>Yaesu FT60r Standard Charger</t>
  </si>
  <si>
    <t>Yaesu FT60r Rapid Charger</t>
  </si>
  <si>
    <t>Kenwood TH-D74 KSC-25LSK Rapid Charger with KNB-74LW battery</t>
  </si>
  <si>
    <t>Kenwood TH-D74 KSC-25LSK Rapid Charger with KNB-75LW battery</t>
  </si>
  <si>
    <t xml:space="preserve">Kenwood TH-D72 KSC-32 Rapid Charger with PB-45L battery </t>
  </si>
  <si>
    <t>Kenwood TH-D74 standard charger with KNB-74LW battery</t>
  </si>
  <si>
    <t>Kenwood TH-D74 standard charger with KNB-75LW battery</t>
  </si>
  <si>
    <t>DST</t>
  </si>
  <si>
    <t>TZ Offset</t>
  </si>
  <si>
    <t>Baofeng Charger with the Standard (1800 mAh) Battery</t>
  </si>
  <si>
    <t>Baofeng Charger with the Extended (3400 mAh) Battery</t>
  </si>
  <si>
    <t>Yaesu FT1D/2D Rapid Charger with FNB-14LI Battery 2200mAh</t>
  </si>
  <si>
    <t>Yaesu FT1D/2D Rapid Charger with FNB-101LI Battery 1100mAh</t>
  </si>
  <si>
    <t>Yaesu FT1D/2D Rapid Charger with FNB-102LI Battery 1800mAh</t>
  </si>
  <si>
    <t>Engel MT27 Fridge / Freezer @ 41° F, amb temp 77° F</t>
  </si>
  <si>
    <t>Engel MT35 Fridge / Freezer @ 41° F, amb temp 77° F</t>
  </si>
  <si>
    <t>Engel MT60 Fridge / Freezer @ 41° F, amb temp 77° F</t>
  </si>
  <si>
    <r>
      <t>Engel MT80 Fridge / Freezer @ 41</t>
    </r>
    <r>
      <rPr>
        <sz val="11"/>
        <color theme="1"/>
        <rFont val="Symbol"/>
        <family val="1"/>
        <charset val="2"/>
      </rPr>
      <t>°</t>
    </r>
    <r>
      <rPr>
        <sz val="11"/>
        <color theme="1"/>
        <rFont val="Calibri"/>
        <family val="2"/>
        <scheme val="minor"/>
      </rPr>
      <t xml:space="preserve"> F, amb temp 77° F</t>
    </r>
  </si>
  <si>
    <t>Engel MT80 Fridge / Freezer @ -4° F, amb temp 77° F</t>
  </si>
  <si>
    <t>Engel MT60 Fridge / Freezer @ -4° F, amb temp 77° F</t>
  </si>
  <si>
    <t>Engel MT45 Fridge / Freezer @ -4° F, amb temp 77° F</t>
  </si>
  <si>
    <t>Engel MT35 Fridge / Freezer @ -4° F, amb temp 77° F</t>
  </si>
  <si>
    <t>Engel MT27 Fridge / Freezer @ -4° F, amb temp 77° F</t>
  </si>
  <si>
    <t>Engel MT17 Fridge / Freezer @ -4° F, amb temp 77° F</t>
  </si>
  <si>
    <t>Xtar Dragon Battery Charger - 4x 8000 mAh D Cell batteries</t>
  </si>
  <si>
    <t>Xtar Dragon Battery Charger - 4x 3500 mAh 18650 batteries</t>
  </si>
  <si>
    <t>Xtar Dragon Battery Charger - 4x 2000 mAh AA Eneloop batteries</t>
  </si>
  <si>
    <t>Refrigerator 22 cu ft (2011-14 CEE Tier 3)</t>
  </si>
  <si>
    <t>Samsung LCD HDTV 24"</t>
  </si>
  <si>
    <t>`</t>
  </si>
  <si>
    <t>Then averaging that data from the first to the last year that data was made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</si>
</sst>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&quot;$&quot;#,##0.00"/>
    <numFmt numFmtId="166" formatCode="h:mm:ss;@"/>
    <numFmt numFmtId="167" formatCode="0.000000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621"/>
      <name val="Arial"/>
      <family val="2"/>
    </font>
    <font>
      <sz val="11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64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165" fontId="0" fillId="0" borderId="1" xfId="0" applyNumberFormat="1" applyBorder="1" applyProtection="1">
      <protection hidden="1"/>
    </xf>
    <xf numFmtId="165" fontId="0" fillId="0" borderId="1" xfId="0" applyNumberFormat="1" applyBorder="1" applyAlignment="1" applyProtection="1">
      <alignment horizontal="right"/>
      <protection hidden="1"/>
    </xf>
    <xf numFmtId="165" fontId="0" fillId="0" borderId="1" xfId="0" applyNumberFormat="1" applyBorder="1" applyAlignment="1" applyProtection="1">
      <alignment horizontal="left"/>
      <protection hidden="1"/>
    </xf>
    <xf numFmtId="0" fontId="0" fillId="0" borderId="1" xfId="0" applyBorder="1" applyAlignment="1" applyProtection="1">
      <alignment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Protection="1"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1" fontId="0" fillId="0" borderId="1" xfId="0" applyNumberFormat="1" applyBorder="1" applyAlignment="1" applyProtection="1">
      <alignment horizontal="center"/>
      <protection hidden="1"/>
    </xf>
    <xf numFmtId="1" fontId="0" fillId="0" borderId="1" xfId="0" applyNumberFormat="1" applyBorder="1" applyProtection="1">
      <protection hidden="1"/>
    </xf>
    <xf numFmtId="9" fontId="0" fillId="0" borderId="1" xfId="0" applyNumberFormat="1" applyBorder="1" applyProtection="1">
      <protection hidden="1"/>
    </xf>
    <xf numFmtId="165" fontId="1" fillId="2" borderId="1" xfId="0" applyNumberFormat="1" applyFont="1" applyFill="1" applyBorder="1" applyAlignment="1" applyProtection="1">
      <alignment horizontal="center" vertical="center"/>
      <protection hidden="1"/>
    </xf>
    <xf numFmtId="1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Protection="1"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165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3" fillId="4" borderId="0" xfId="0" applyFont="1" applyFill="1"/>
    <xf numFmtId="165" fontId="2" fillId="0" borderId="1" xfId="0" applyNumberFormat="1" applyFont="1" applyBorder="1" applyProtection="1"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7" fillId="0" borderId="1" xfId="1" applyFont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2" fontId="0" fillId="0" borderId="0" xfId="0" applyNumberFormat="1"/>
    <xf numFmtId="0" fontId="0" fillId="0" borderId="0" xfId="0" applyBorder="1"/>
    <xf numFmtId="1" fontId="2" fillId="0" borderId="1" xfId="0" applyNumberFormat="1" applyFont="1" applyBorder="1" applyProtection="1">
      <protection hidden="1"/>
    </xf>
    <xf numFmtId="22" fontId="0" fillId="0" borderId="0" xfId="0" applyNumberForma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0" fillId="0" borderId="4" xfId="0" applyBorder="1"/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/>
    <xf numFmtId="0" fontId="4" fillId="2" borderId="2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hidden="1"/>
    </xf>
    <xf numFmtId="0" fontId="0" fillId="0" borderId="3" xfId="0" applyBorder="1" applyAlignment="1" applyProtection="1">
      <protection hidden="1"/>
    </xf>
    <xf numFmtId="0" fontId="0" fillId="0" borderId="0" xfId="0" quotePrefix="1" applyAlignment="1" applyProtection="1">
      <alignment horizontal="right"/>
      <protection hidden="1"/>
    </xf>
    <xf numFmtId="0" fontId="0" fillId="0" borderId="0" xfId="0" quotePrefix="1" applyProtection="1"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166" fontId="0" fillId="0" borderId="1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2" fontId="0" fillId="0" borderId="1" xfId="0" applyNumberFormat="1" applyBorder="1" applyProtection="1">
      <protection hidden="1"/>
    </xf>
    <xf numFmtId="167" fontId="0" fillId="0" borderId="1" xfId="0" applyNumberFormat="1" applyBorder="1" applyProtection="1">
      <protection hidden="1"/>
    </xf>
    <xf numFmtId="166" fontId="0" fillId="0" borderId="1" xfId="0" applyNumberFormat="1" applyBorder="1" applyProtection="1">
      <protection hidden="1"/>
    </xf>
    <xf numFmtId="1" fontId="0" fillId="0" borderId="0" xfId="0" applyNumberFormat="1" applyProtection="1">
      <protection hidden="1"/>
    </xf>
    <xf numFmtId="0" fontId="9" fillId="0" borderId="0" xfId="0" applyFont="1" applyProtection="1">
      <protection hidden="1"/>
    </xf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/>
    <xf numFmtId="164" fontId="0" fillId="0" borderId="1" xfId="0" applyNumberFormat="1" applyBorder="1" applyProtection="1"/>
    <xf numFmtId="0" fontId="0" fillId="0" borderId="1" xfId="0" applyFill="1" applyBorder="1" applyProtection="1"/>
    <xf numFmtId="164" fontId="0" fillId="0" borderId="1" xfId="0" applyNumberFormat="1" applyFill="1" applyBorder="1" applyProtection="1"/>
  </cellXfs>
  <cellStyles count="2">
    <cellStyle name="Hyperlink" xfId="1" builtinId="8"/>
    <cellStyle name="Normal" xfId="0" builtinId="0"/>
  </cellStyles>
  <dxfs count="8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1869B"/>
      <color rgb="FFFFFFCC"/>
      <color rgb="FFDDE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B1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checked="Checked" lockText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C1" lockText="1"/>
</file>

<file path=xl/ctrlProps/ctrlProp6.xml><?xml version="1.0" encoding="utf-8"?>
<formControlPr xmlns="http://schemas.microsoft.com/office/spreadsheetml/2009/9/main" objectType="Radio" checked="Checked" lockText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C2" lockText="1"/>
</file>

<file path=xl/ctrlProps/ctrlProp9.xml><?xml version="1.0" encoding="utf-8"?>
<formControlPr xmlns="http://schemas.microsoft.com/office/spreadsheetml/2009/9/main" objectType="Radio" checked="Checked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847725</xdr:colOff>
      <xdr:row>0</xdr:row>
      <xdr:rowOff>400050</xdr:rowOff>
    </xdr:from>
    <xdr:to>
      <xdr:col>8</xdr:col>
      <xdr:colOff>590550</xdr:colOff>
      <xdr:row>39</xdr:row>
      <xdr:rowOff>28574</xdr:rowOff>
    </xdr:to>
    <xdr:sp macro="" textlink="">
      <xdr:nvSpPr>
        <xdr:cNvPr id="2" name="TextBox 1"/>
        <xdr:cNvSpPr txBox="1"/>
      </xdr:nvSpPr>
      <xdr:spPr>
        <a:xfrm>
          <a:off x="7820025" y="400050"/>
          <a:ext cx="600075" cy="3086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l"/>
          <a:r>
            <a:rPr lang="en-US" sz="1400"/>
            <a:t>Rachel Kinoshita - KK6DAC - DRAFT - DO</a:t>
          </a:r>
          <a:r>
            <a:rPr lang="en-US" sz="1400" baseline="0"/>
            <a:t> NOT DISTRIBUTE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171449</xdr:colOff>
      <xdr:row>0</xdr:row>
      <xdr:rowOff>0</xdr:rowOff>
    </xdr:from>
    <xdr:to>
      <xdr:col>4</xdr:col>
      <xdr:colOff>1838324</xdr:colOff>
      <xdr:row>0</xdr:row>
      <xdr:rowOff>819150</xdr:rowOff>
    </xdr:to>
    <xdr:sp macro="" textlink="">
      <xdr:nvSpPr>
        <xdr:cNvPr id="5" name="TextBox 4"/>
        <xdr:cNvSpPr txBox="1"/>
      </xdr:nvSpPr>
      <xdr:spPr>
        <a:xfrm>
          <a:off x="4505324" y="5562600"/>
          <a:ext cx="3152775" cy="8382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</a:t>
          </a:r>
          <a:endParaRPr lang="en-US" sz="1100"/>
        </a:p>
      </xdr:txBody>
    </xdr:sp>
    <xdr:clientData/>
  </xdr:twoCellAnchor>
  <xdr:twoCellAnchor>
    <xdr:from>
      <xdr:col>2</xdr:col>
      <xdr:colOff>171449</xdr:colOff>
      <xdr:row>0</xdr:row>
      <xdr:rowOff>819150</xdr:rowOff>
    </xdr:from>
    <xdr:to>
      <xdr:col>4</xdr:col>
      <xdr:colOff>1838324</xdr:colOff>
      <xdr:row>1</xdr:row>
      <xdr:rowOff>581025</xdr:rowOff>
    </xdr:to>
    <xdr:sp macro="" textlink="">
      <xdr:nvSpPr>
        <xdr:cNvPr id="17" name="TextBox 16"/>
        <xdr:cNvSpPr txBox="1"/>
      </xdr:nvSpPr>
      <xdr:spPr>
        <a:xfrm>
          <a:off x="4505324" y="6400800"/>
          <a:ext cx="3152775" cy="6096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</a:t>
          </a:r>
          <a:endParaRPr lang="en-US" sz="1100"/>
        </a:p>
      </xdr:txBody>
    </xdr:sp>
    <xdr:clientData/>
  </xdr:twoCellAnchor>
  <xdr:twoCellAnchor>
    <xdr:from>
      <xdr:col>2</xdr:col>
      <xdr:colOff>171451</xdr:colOff>
      <xdr:row>0</xdr:row>
      <xdr:rowOff>809626</xdr:rowOff>
    </xdr:from>
    <xdr:to>
      <xdr:col>4</xdr:col>
      <xdr:colOff>981075</xdr:colOff>
      <xdr:row>2</xdr:row>
      <xdr:rowOff>1</xdr:rowOff>
    </xdr:to>
    <xdr:sp macro="" textlink="">
      <xdr:nvSpPr>
        <xdr:cNvPr id="4" name="TextBox 3"/>
        <xdr:cNvSpPr txBox="1"/>
      </xdr:nvSpPr>
      <xdr:spPr>
        <a:xfrm>
          <a:off x="4505326" y="6391276"/>
          <a:ext cx="2295524" cy="62865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600"/>
            <a:t>What Type of Batteries?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2695575</xdr:colOff>
          <xdr:row>0</xdr:row>
          <xdr:rowOff>47625</xdr:rowOff>
        </xdr:from>
        <xdr:to>
          <xdr:col>1</xdr:col>
          <xdr:colOff>3724275</xdr:colOff>
          <xdr:row>0</xdr:row>
          <xdr:rowOff>257175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Yearly Average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2695575</xdr:colOff>
          <xdr:row>0</xdr:row>
          <xdr:rowOff>295275</xdr:rowOff>
        </xdr:from>
        <xdr:to>
          <xdr:col>1</xdr:col>
          <xdr:colOff>3724275</xdr:colOff>
          <xdr:row>0</xdr:row>
          <xdr:rowOff>504825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Summer Peak Hours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2695575</xdr:colOff>
          <xdr:row>0</xdr:row>
          <xdr:rowOff>552450</xdr:rowOff>
        </xdr:from>
        <xdr:to>
          <xdr:col>1</xdr:col>
          <xdr:colOff>3724275</xdr:colOff>
          <xdr:row>0</xdr:row>
          <xdr:rowOff>762000</xdr:rowOff>
        </xdr:to>
        <xdr:sp macro="" textlink="">
          <xdr:nvSpPr>
            <xdr:cNvPr id="3078" name="Option Butto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Winter Peak Hours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76200</xdr:colOff>
      <xdr:row>0</xdr:row>
      <xdr:rowOff>85725</xdr:rowOff>
    </xdr:from>
    <xdr:to>
      <xdr:col>1</xdr:col>
      <xdr:colOff>2457450</xdr:colOff>
      <xdr:row>0</xdr:row>
      <xdr:rowOff>723900</xdr:rowOff>
    </xdr:to>
    <xdr:sp macro="" textlink="">
      <xdr:nvSpPr>
        <xdr:cNvPr id="2" name="TextBox 1"/>
        <xdr:cNvSpPr txBox="1"/>
      </xdr:nvSpPr>
      <xdr:spPr>
        <a:xfrm>
          <a:off x="542925" y="6010275"/>
          <a:ext cx="23812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600"/>
            <a:t>Select</a:t>
          </a:r>
          <a:r>
            <a:rPr lang="en-US" sz="1600" baseline="0"/>
            <a:t> Peak Sun Hours to design your system for</a:t>
          </a:r>
          <a:endParaRPr lang="en-US" sz="1600"/>
        </a:p>
      </xdr:txBody>
    </xdr:sp>
    <xdr:clientData/>
  </xdr:twoCellAnchor>
  <xdr:twoCellAnchor>
    <xdr:from>
      <xdr:col>1</xdr:col>
      <xdr:colOff>19050</xdr:colOff>
      <xdr:row>0</xdr:row>
      <xdr:rowOff>904875</xdr:rowOff>
    </xdr:from>
    <xdr:to>
      <xdr:col>1</xdr:col>
      <xdr:colOff>3308350</xdr:colOff>
      <xdr:row>2</xdr:row>
      <xdr:rowOff>0</xdr:rowOff>
    </xdr:to>
    <xdr:sp macro="" textlink="">
      <xdr:nvSpPr>
        <xdr:cNvPr id="3" name="TextBox 2"/>
        <xdr:cNvSpPr txBox="1"/>
      </xdr:nvSpPr>
      <xdr:spPr>
        <a:xfrm>
          <a:off x="485775" y="6829425"/>
          <a:ext cx="3289300" cy="593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Maximum Consecutive Days with Overcast Skies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0</xdr:row>
          <xdr:rowOff>0</xdr:rowOff>
        </xdr:from>
        <xdr:to>
          <xdr:col>4</xdr:col>
          <xdr:colOff>1857375</xdr:colOff>
          <xdr:row>0</xdr:row>
          <xdr:rowOff>828675</xdr:rowOff>
        </xdr:to>
        <xdr:sp macro="" textlink="">
          <xdr:nvSpPr>
            <xdr:cNvPr id="3082" name="Group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1123950</xdr:colOff>
          <xdr:row>0</xdr:row>
          <xdr:rowOff>180975</xdr:rowOff>
        </xdr:from>
        <xdr:to>
          <xdr:col>4</xdr:col>
          <xdr:colOff>1752600</xdr:colOff>
          <xdr:row>0</xdr:row>
          <xdr:rowOff>485775</xdr:rowOff>
        </xdr:to>
        <xdr:sp macro="" textlink="">
          <xdr:nvSpPr>
            <xdr:cNvPr id="3083" name="Option Button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1114425</xdr:colOff>
          <xdr:row>0</xdr:row>
          <xdr:rowOff>390525</xdr:rowOff>
        </xdr:from>
        <xdr:to>
          <xdr:col>4</xdr:col>
          <xdr:colOff>1771650</xdr:colOff>
          <xdr:row>0</xdr:row>
          <xdr:rowOff>714375</xdr:rowOff>
        </xdr:to>
        <xdr:sp macro="" textlink="">
          <xdr:nvSpPr>
            <xdr:cNvPr id="3085" name="Option Button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1009650</xdr:colOff>
          <xdr:row>0</xdr:row>
          <xdr:rowOff>838200</xdr:rowOff>
        </xdr:from>
        <xdr:to>
          <xdr:col>4</xdr:col>
          <xdr:colOff>1857375</xdr:colOff>
          <xdr:row>2</xdr:row>
          <xdr:rowOff>0</xdr:rowOff>
        </xdr:to>
        <xdr:sp macro="" textlink="">
          <xdr:nvSpPr>
            <xdr:cNvPr id="3086" name="Group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1114425</xdr:colOff>
          <xdr:row>1</xdr:row>
          <xdr:rowOff>95250</xdr:rowOff>
        </xdr:from>
        <xdr:to>
          <xdr:col>4</xdr:col>
          <xdr:colOff>1724025</xdr:colOff>
          <xdr:row>1</xdr:row>
          <xdr:rowOff>304800</xdr:rowOff>
        </xdr:to>
        <xdr:sp macro="" textlink="">
          <xdr:nvSpPr>
            <xdr:cNvPr id="3087" name="Option Button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Lead Acid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1114425</xdr:colOff>
          <xdr:row>1</xdr:row>
          <xdr:rowOff>314325</xdr:rowOff>
        </xdr:from>
        <xdr:to>
          <xdr:col>4</xdr:col>
          <xdr:colOff>1695450</xdr:colOff>
          <xdr:row>1</xdr:row>
          <xdr:rowOff>523875</xdr:rowOff>
        </xdr:to>
        <xdr:sp macro="" textlink="">
          <xdr:nvSpPr>
            <xdr:cNvPr id="3089" name="Option Button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LiFePO4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190501</xdr:colOff>
      <xdr:row>0</xdr:row>
      <xdr:rowOff>0</xdr:rowOff>
    </xdr:from>
    <xdr:to>
      <xdr:col>4</xdr:col>
      <xdr:colOff>1000125</xdr:colOff>
      <xdr:row>0</xdr:row>
      <xdr:rowOff>838200</xdr:rowOff>
    </xdr:to>
    <xdr:sp macro="" textlink="">
      <xdr:nvSpPr>
        <xdr:cNvPr id="22" name="TextBox 21"/>
        <xdr:cNvSpPr txBox="1"/>
      </xdr:nvSpPr>
      <xdr:spPr>
        <a:xfrm>
          <a:off x="4524376" y="5572126"/>
          <a:ext cx="2295524" cy="84772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600"/>
            <a:t>Will you be using an Inverter?</a:t>
          </a:r>
        </a:p>
      </xdr:txBody>
    </xdr:sp>
    <xdr:clientData/>
  </xdr:twoCellAnchor>
  <xdr:twoCellAnchor>
    <xdr:from>
      <xdr:col>0</xdr:col>
      <xdr:colOff>57150</xdr:colOff>
      <xdr:row>29</xdr:row>
      <xdr:rowOff>0</xdr:rowOff>
    </xdr:from>
    <xdr:to>
      <xdr:col>1</xdr:col>
      <xdr:colOff>3905251</xdr:colOff>
      <xdr:row>30</xdr:row>
      <xdr:rowOff>142876</xdr:rowOff>
    </xdr:to>
    <xdr:sp macro="" textlink="">
      <xdr:nvSpPr>
        <xdr:cNvPr id="18" name="TextBox 17"/>
        <xdr:cNvSpPr txBox="1"/>
      </xdr:nvSpPr>
      <xdr:spPr>
        <a:xfrm>
          <a:off x="57150" y="6915150"/>
          <a:ext cx="4210051" cy="333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l"/>
          <a:r>
            <a:rPr lang="en-US" sz="1400"/>
            <a:t>Rachel Kinoshita - KK6DAC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DRAFT - DO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DISTRIBUTE</a:t>
          </a:r>
          <a:endParaRPr lang="en-US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0</xdr:row>
      <xdr:rowOff>390525</xdr:rowOff>
    </xdr:from>
    <xdr:to>
      <xdr:col>10</xdr:col>
      <xdr:colOff>581025</xdr:colOff>
      <xdr:row>17</xdr:row>
      <xdr:rowOff>19049</xdr:rowOff>
    </xdr:to>
    <xdr:sp macro="" textlink="">
      <xdr:nvSpPr>
        <xdr:cNvPr id="4" name="TextBox 3"/>
        <xdr:cNvSpPr txBox="1"/>
      </xdr:nvSpPr>
      <xdr:spPr>
        <a:xfrm>
          <a:off x="10696575" y="390525"/>
          <a:ext cx="590550" cy="3790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l"/>
          <a:r>
            <a:rPr lang="en-US" sz="1400"/>
            <a:t>Rachel Kinoshita - KK6DAC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DRAFT - DO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DISTRIBUTE</a:t>
          </a:r>
          <a:endParaRPr lang="en-US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590550</xdr:colOff>
      <xdr:row>18</xdr:row>
      <xdr:rowOff>161924</xdr:rowOff>
    </xdr:to>
    <xdr:sp macro="" textlink="">
      <xdr:nvSpPr>
        <xdr:cNvPr id="2" name="TextBox 1"/>
        <xdr:cNvSpPr txBox="1"/>
      </xdr:nvSpPr>
      <xdr:spPr>
        <a:xfrm>
          <a:off x="17687925" y="0"/>
          <a:ext cx="590550" cy="3790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l"/>
          <a:r>
            <a:rPr lang="en-US" sz="1400"/>
            <a:t>Rachel Kinoshita - KK6DAC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DRAFT - DO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DISTRIBUTE</a:t>
          </a:r>
          <a:endParaRPr lang="en-US" sz="1400"/>
        </a:p>
      </xdr:txBody>
    </xdr:sp>
    <xdr:clientData/>
  </xdr:twoCellAnchor>
  <xdr:twoCellAnchor>
    <xdr:from>
      <xdr:col>0</xdr:col>
      <xdr:colOff>66674</xdr:colOff>
      <xdr:row>114</xdr:row>
      <xdr:rowOff>180975</xdr:rowOff>
    </xdr:from>
    <xdr:to>
      <xdr:col>1</xdr:col>
      <xdr:colOff>3467100</xdr:colOff>
      <xdr:row>117</xdr:row>
      <xdr:rowOff>85725</xdr:rowOff>
    </xdr:to>
    <xdr:sp macro="" textlink="">
      <xdr:nvSpPr>
        <xdr:cNvPr id="3" name="TextBox 2"/>
        <xdr:cNvSpPr txBox="1"/>
      </xdr:nvSpPr>
      <xdr:spPr>
        <a:xfrm>
          <a:off x="66674" y="22479000"/>
          <a:ext cx="4010026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l"/>
          <a:r>
            <a:rPr lang="en-US" sz="1400"/>
            <a:t>Rachel Kinoshita - KK6DAC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DRAFT - DO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DISTRIBUTE</a:t>
          </a:r>
          <a:endParaRPr lang="en-US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14</xdr:row>
      <xdr:rowOff>0</xdr:rowOff>
    </xdr:from>
    <xdr:to>
      <xdr:col>15</xdr:col>
      <xdr:colOff>590550</xdr:colOff>
      <xdr:row>34</xdr:row>
      <xdr:rowOff>66674</xdr:rowOff>
    </xdr:to>
    <xdr:sp macro="" textlink="">
      <xdr:nvSpPr>
        <xdr:cNvPr id="2" name="TextBox 1"/>
        <xdr:cNvSpPr txBox="1"/>
      </xdr:nvSpPr>
      <xdr:spPr>
        <a:xfrm>
          <a:off x="8791575" y="2800350"/>
          <a:ext cx="590550" cy="3876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l"/>
          <a:r>
            <a:rPr lang="en-US" sz="1400"/>
            <a:t>Rachel Kinoshita - KK6DAC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DRAFT - DO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DISTRIBUTE</a:t>
          </a:r>
          <a:endParaRPr lang="en-US" sz="14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</xdr:row>
      <xdr:rowOff>161925</xdr:rowOff>
    </xdr:from>
    <xdr:to>
      <xdr:col>9</xdr:col>
      <xdr:colOff>9525</xdr:colOff>
      <xdr:row>23</xdr:row>
      <xdr:rowOff>38099</xdr:rowOff>
    </xdr:to>
    <xdr:sp macro="" textlink="">
      <xdr:nvSpPr>
        <xdr:cNvPr id="2" name="TextBox 1"/>
        <xdr:cNvSpPr txBox="1"/>
      </xdr:nvSpPr>
      <xdr:spPr>
        <a:xfrm>
          <a:off x="6343650" y="885825"/>
          <a:ext cx="590550" cy="3876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l"/>
          <a:r>
            <a:rPr lang="en-US" sz="1400"/>
            <a:t>Rachel Kinoshita - KK6DAC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DRAFT - DO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DISTRIBUTE</a:t>
          </a:r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21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5.140625" style="9" customWidth="1"/>
    <col min="2" max="2" width="59.28515625" customWidth="1"/>
    <col min="3" max="3" width="6.140625" customWidth="1"/>
    <col min="4" max="4" width="7.7109375" customWidth="1"/>
    <col min="6" max="6" width="8.140625" customWidth="1"/>
    <col min="7" max="7" width="11.7109375" customWidth="1"/>
    <col min="8" max="8" width="12.85546875" style="6" customWidth="1"/>
  </cols>
  <sheetData>
    <row r="1" spans="1:9" ht="32.25" customHeight="1" x14ac:dyDescent="0.25">
      <c r="A1" s="50" t="s">
        <v>26</v>
      </c>
      <c r="B1" s="50" t="s">
        <v>0</v>
      </c>
      <c r="C1" s="50" t="s">
        <v>1</v>
      </c>
      <c r="D1" s="50" t="s">
        <v>2</v>
      </c>
      <c r="E1" s="50" t="s">
        <v>3</v>
      </c>
      <c r="F1" s="50" t="s">
        <v>4</v>
      </c>
      <c r="G1" s="4" t="s">
        <v>92</v>
      </c>
      <c r="H1" s="5" t="s">
        <v>5</v>
      </c>
      <c r="I1" s="51"/>
    </row>
    <row r="2" spans="1:9" x14ac:dyDescent="0.25">
      <c r="A2" s="26"/>
      <c r="B2" s="27" t="s">
        <v>634</v>
      </c>
      <c r="C2" s="27">
        <v>12</v>
      </c>
      <c r="D2" s="27">
        <v>0.2</v>
      </c>
      <c r="E2" s="27">
        <f t="shared" ref="E2:E13" si="0">C2*D2</f>
        <v>2.4000000000000004</v>
      </c>
      <c r="F2" s="27">
        <v>10</v>
      </c>
      <c r="G2" s="27">
        <v>3</v>
      </c>
      <c r="H2" s="71">
        <f t="shared" ref="H2:H34" si="1">A2*E2*F2*G2/7</f>
        <v>0</v>
      </c>
      <c r="I2" s="51"/>
    </row>
    <row r="3" spans="1:9" x14ac:dyDescent="0.25">
      <c r="A3" s="26"/>
      <c r="B3" s="27" t="s">
        <v>635</v>
      </c>
      <c r="C3" s="27">
        <v>12</v>
      </c>
      <c r="D3" s="27">
        <v>0.9</v>
      </c>
      <c r="E3" s="27">
        <f t="shared" si="0"/>
        <v>10.8</v>
      </c>
      <c r="F3" s="27">
        <v>1.5</v>
      </c>
      <c r="G3" s="27">
        <v>3</v>
      </c>
      <c r="H3" s="71">
        <f t="shared" si="1"/>
        <v>0</v>
      </c>
      <c r="I3" s="51"/>
    </row>
    <row r="4" spans="1:9" x14ac:dyDescent="0.25">
      <c r="A4" s="26"/>
      <c r="B4" s="27" t="s">
        <v>646</v>
      </c>
      <c r="C4" s="27">
        <v>12</v>
      </c>
      <c r="D4" s="27">
        <v>0.5</v>
      </c>
      <c r="E4" s="27">
        <f t="shared" si="0"/>
        <v>6</v>
      </c>
      <c r="F4" s="27">
        <v>2.5</v>
      </c>
      <c r="G4" s="27">
        <v>3</v>
      </c>
      <c r="H4" s="71">
        <f t="shared" si="1"/>
        <v>0</v>
      </c>
      <c r="I4" s="51"/>
    </row>
    <row r="5" spans="1:9" x14ac:dyDescent="0.25">
      <c r="A5" s="26"/>
      <c r="B5" s="27" t="s">
        <v>647</v>
      </c>
      <c r="C5" s="27">
        <v>12</v>
      </c>
      <c r="D5" s="27">
        <v>0.5</v>
      </c>
      <c r="E5" s="27">
        <f t="shared" si="0"/>
        <v>6</v>
      </c>
      <c r="F5" s="27">
        <v>4</v>
      </c>
      <c r="G5" s="27">
        <v>3</v>
      </c>
      <c r="H5" s="71">
        <f t="shared" si="1"/>
        <v>0</v>
      </c>
      <c r="I5" s="51"/>
    </row>
    <row r="6" spans="1:9" x14ac:dyDescent="0.25">
      <c r="A6" s="26"/>
      <c r="B6" s="27" t="s">
        <v>645</v>
      </c>
      <c r="C6" s="27">
        <v>12</v>
      </c>
      <c r="D6" s="27">
        <v>0.5</v>
      </c>
      <c r="E6" s="27">
        <f t="shared" si="0"/>
        <v>6</v>
      </c>
      <c r="F6" s="27">
        <v>5</v>
      </c>
      <c r="G6" s="27">
        <v>3</v>
      </c>
      <c r="H6" s="71">
        <f t="shared" si="1"/>
        <v>0</v>
      </c>
      <c r="I6" s="51"/>
    </row>
    <row r="7" spans="1:9" x14ac:dyDescent="0.25">
      <c r="A7" s="26"/>
      <c r="B7" s="27" t="s">
        <v>643</v>
      </c>
      <c r="C7" s="27">
        <v>10</v>
      </c>
      <c r="D7" s="27">
        <v>0.5</v>
      </c>
      <c r="E7" s="27">
        <f t="shared" si="0"/>
        <v>5</v>
      </c>
      <c r="F7" s="27">
        <v>4</v>
      </c>
      <c r="G7" s="27">
        <v>3</v>
      </c>
      <c r="H7" s="71">
        <f t="shared" si="1"/>
        <v>0</v>
      </c>
      <c r="I7" s="51"/>
    </row>
    <row r="8" spans="1:9" x14ac:dyDescent="0.25">
      <c r="A8" s="26"/>
      <c r="B8" s="27" t="s">
        <v>644</v>
      </c>
      <c r="C8" s="27">
        <v>10</v>
      </c>
      <c r="D8" s="27">
        <v>0.5</v>
      </c>
      <c r="E8" s="27">
        <f t="shared" si="0"/>
        <v>5</v>
      </c>
      <c r="F8" s="27">
        <v>7</v>
      </c>
      <c r="G8" s="27">
        <v>3</v>
      </c>
      <c r="H8" s="71">
        <f t="shared" si="1"/>
        <v>0</v>
      </c>
      <c r="I8" s="51"/>
    </row>
    <row r="9" spans="1:9" x14ac:dyDescent="0.25">
      <c r="A9" s="26"/>
      <c r="B9" s="27" t="s">
        <v>638</v>
      </c>
      <c r="C9" s="27">
        <v>12</v>
      </c>
      <c r="D9" s="27">
        <v>1.35</v>
      </c>
      <c r="E9" s="27">
        <f t="shared" si="0"/>
        <v>16.200000000000003</v>
      </c>
      <c r="F9" s="27">
        <v>3</v>
      </c>
      <c r="G9" s="27">
        <v>3</v>
      </c>
      <c r="H9" s="71">
        <f t="shared" si="1"/>
        <v>0</v>
      </c>
      <c r="I9" s="51"/>
    </row>
    <row r="10" spans="1:9" x14ac:dyDescent="0.25">
      <c r="A10" s="26"/>
      <c r="B10" s="27" t="s">
        <v>639</v>
      </c>
      <c r="C10" s="27">
        <v>12</v>
      </c>
      <c r="D10" s="27">
        <v>0.65</v>
      </c>
      <c r="E10" s="27">
        <f t="shared" si="0"/>
        <v>7.8000000000000007</v>
      </c>
      <c r="F10" s="27">
        <v>5</v>
      </c>
      <c r="G10" s="27">
        <v>3</v>
      </c>
      <c r="H10" s="71">
        <f t="shared" si="1"/>
        <v>0</v>
      </c>
      <c r="I10" s="51"/>
    </row>
    <row r="11" spans="1:9" x14ac:dyDescent="0.25">
      <c r="A11" s="26"/>
      <c r="B11" s="27" t="s">
        <v>640</v>
      </c>
      <c r="C11" s="27">
        <v>12</v>
      </c>
      <c r="D11" s="27">
        <v>0.65</v>
      </c>
      <c r="E11" s="27">
        <f t="shared" si="0"/>
        <v>7.8000000000000007</v>
      </c>
      <c r="F11" s="27">
        <v>6</v>
      </c>
      <c r="G11" s="27">
        <v>3</v>
      </c>
      <c r="H11" s="71">
        <f t="shared" si="1"/>
        <v>0</v>
      </c>
      <c r="I11" s="51"/>
    </row>
    <row r="12" spans="1:9" x14ac:dyDescent="0.25">
      <c r="A12" s="26"/>
      <c r="B12" s="27" t="s">
        <v>636</v>
      </c>
      <c r="C12" s="27">
        <v>12</v>
      </c>
      <c r="D12" s="27">
        <v>0.75</v>
      </c>
      <c r="E12" s="27">
        <f t="shared" si="0"/>
        <v>9</v>
      </c>
      <c r="F12" s="27">
        <v>3</v>
      </c>
      <c r="G12" s="27">
        <v>3</v>
      </c>
      <c r="H12" s="71">
        <f t="shared" si="1"/>
        <v>0</v>
      </c>
      <c r="I12" s="51"/>
    </row>
    <row r="13" spans="1:9" x14ac:dyDescent="0.25">
      <c r="A13" s="26">
        <v>1</v>
      </c>
      <c r="B13" s="27" t="s">
        <v>637</v>
      </c>
      <c r="C13" s="27">
        <v>12</v>
      </c>
      <c r="D13" s="27">
        <v>0.75</v>
      </c>
      <c r="E13" s="27">
        <f t="shared" si="0"/>
        <v>9</v>
      </c>
      <c r="F13" s="27">
        <v>4</v>
      </c>
      <c r="G13" s="27">
        <v>3</v>
      </c>
      <c r="H13" s="71">
        <f t="shared" si="1"/>
        <v>15.428571428571429</v>
      </c>
      <c r="I13" s="51"/>
    </row>
    <row r="14" spans="1:9" x14ac:dyDescent="0.25">
      <c r="A14" s="26"/>
      <c r="B14" s="27" t="s">
        <v>185</v>
      </c>
      <c r="C14" s="27"/>
      <c r="D14" s="27"/>
      <c r="E14" s="27">
        <v>11</v>
      </c>
      <c r="F14" s="27">
        <v>4</v>
      </c>
      <c r="G14" s="27">
        <v>7</v>
      </c>
      <c r="H14" s="71">
        <f t="shared" si="1"/>
        <v>0</v>
      </c>
      <c r="I14" s="51"/>
    </row>
    <row r="15" spans="1:9" x14ac:dyDescent="0.25">
      <c r="A15" s="26"/>
      <c r="B15" s="27" t="s">
        <v>186</v>
      </c>
      <c r="C15" s="27"/>
      <c r="D15" s="27"/>
      <c r="E15" s="27">
        <v>16</v>
      </c>
      <c r="F15" s="27">
        <v>4</v>
      </c>
      <c r="G15" s="27">
        <v>7</v>
      </c>
      <c r="H15" s="71">
        <f t="shared" si="1"/>
        <v>0</v>
      </c>
      <c r="I15" s="51"/>
    </row>
    <row r="16" spans="1:9" x14ac:dyDescent="0.25">
      <c r="A16" s="26"/>
      <c r="B16" s="27" t="s">
        <v>187</v>
      </c>
      <c r="C16" s="27"/>
      <c r="D16" s="27"/>
      <c r="E16" s="27">
        <v>26</v>
      </c>
      <c r="F16" s="27">
        <f>24*0.2</f>
        <v>4.8000000000000007</v>
      </c>
      <c r="G16" s="27">
        <v>7</v>
      </c>
      <c r="H16" s="71">
        <f t="shared" si="1"/>
        <v>0</v>
      </c>
      <c r="I16" s="51"/>
    </row>
    <row r="17" spans="1:9" x14ac:dyDescent="0.25">
      <c r="A17" s="26"/>
      <c r="B17" s="27" t="s">
        <v>188</v>
      </c>
      <c r="C17" s="27"/>
      <c r="D17" s="27"/>
      <c r="E17" s="27">
        <v>46</v>
      </c>
      <c r="F17" s="27">
        <v>4</v>
      </c>
      <c r="G17" s="27">
        <v>7</v>
      </c>
      <c r="H17" s="71">
        <f t="shared" si="1"/>
        <v>0</v>
      </c>
      <c r="I17" s="51"/>
    </row>
    <row r="18" spans="1:9" x14ac:dyDescent="0.25">
      <c r="A18" s="26">
        <v>1</v>
      </c>
      <c r="B18" s="27" t="s">
        <v>189</v>
      </c>
      <c r="C18" s="27"/>
      <c r="D18" s="27"/>
      <c r="E18" s="27">
        <v>7</v>
      </c>
      <c r="F18" s="27">
        <v>4</v>
      </c>
      <c r="G18" s="27">
        <v>5</v>
      </c>
      <c r="H18" s="71">
        <f t="shared" si="1"/>
        <v>20</v>
      </c>
      <c r="I18" s="51"/>
    </row>
    <row r="19" spans="1:9" x14ac:dyDescent="0.25">
      <c r="A19" s="26"/>
      <c r="B19" s="27" t="s">
        <v>190</v>
      </c>
      <c r="C19" s="27"/>
      <c r="D19" s="27"/>
      <c r="E19" s="27">
        <v>9</v>
      </c>
      <c r="F19" s="27">
        <v>8</v>
      </c>
      <c r="G19" s="27">
        <v>7</v>
      </c>
      <c r="H19" s="71">
        <f t="shared" si="1"/>
        <v>0</v>
      </c>
      <c r="I19" s="51"/>
    </row>
    <row r="20" spans="1:9" x14ac:dyDescent="0.25">
      <c r="A20" s="26"/>
      <c r="B20" s="27" t="s">
        <v>191</v>
      </c>
      <c r="C20" s="27"/>
      <c r="D20" s="27"/>
      <c r="E20" s="27">
        <v>12</v>
      </c>
      <c r="F20" s="27">
        <v>8</v>
      </c>
      <c r="G20" s="27">
        <v>7</v>
      </c>
      <c r="H20" s="71">
        <f t="shared" si="1"/>
        <v>0</v>
      </c>
      <c r="I20" s="51"/>
    </row>
    <row r="21" spans="1:9" x14ac:dyDescent="0.25">
      <c r="A21" s="26"/>
      <c r="B21" s="27" t="s">
        <v>192</v>
      </c>
      <c r="C21" s="27"/>
      <c r="D21" s="27"/>
      <c r="E21" s="27">
        <v>19</v>
      </c>
      <c r="F21" s="27">
        <v>8</v>
      </c>
      <c r="G21" s="27">
        <v>7</v>
      </c>
      <c r="H21" s="71">
        <f t="shared" si="1"/>
        <v>0</v>
      </c>
      <c r="I21" s="51"/>
    </row>
    <row r="22" spans="1:9" x14ac:dyDescent="0.25">
      <c r="A22" s="26"/>
      <c r="B22" s="27" t="s">
        <v>631</v>
      </c>
      <c r="C22" s="27"/>
      <c r="D22" s="27"/>
      <c r="E22" s="27">
        <v>6</v>
      </c>
      <c r="F22" s="27">
        <v>24</v>
      </c>
      <c r="G22" s="27">
        <v>7</v>
      </c>
      <c r="H22" s="71">
        <f t="shared" si="1"/>
        <v>0</v>
      </c>
      <c r="I22" s="51"/>
    </row>
    <row r="23" spans="1:9" x14ac:dyDescent="0.25">
      <c r="A23" s="26"/>
      <c r="B23" s="27" t="s">
        <v>657</v>
      </c>
      <c r="C23" s="27"/>
      <c r="D23" s="27"/>
      <c r="E23" s="27">
        <v>23.4</v>
      </c>
      <c r="F23" s="27">
        <v>24</v>
      </c>
      <c r="G23" s="27">
        <v>7</v>
      </c>
      <c r="H23" s="71">
        <f t="shared" si="1"/>
        <v>0</v>
      </c>
      <c r="I23" s="51"/>
    </row>
    <row r="24" spans="1:9" x14ac:dyDescent="0.25">
      <c r="A24" s="26"/>
      <c r="B24" s="27" t="s">
        <v>648</v>
      </c>
      <c r="C24" s="27"/>
      <c r="D24" s="27"/>
      <c r="E24" s="27">
        <v>7.92</v>
      </c>
      <c r="F24" s="27">
        <v>24</v>
      </c>
      <c r="G24" s="27">
        <v>7</v>
      </c>
      <c r="H24" s="71">
        <f t="shared" si="1"/>
        <v>0</v>
      </c>
      <c r="I24" s="51"/>
    </row>
    <row r="25" spans="1:9" x14ac:dyDescent="0.25">
      <c r="A25" s="26"/>
      <c r="B25" s="27" t="s">
        <v>656</v>
      </c>
      <c r="C25" s="27"/>
      <c r="D25" s="27"/>
      <c r="E25" s="27">
        <v>26.88</v>
      </c>
      <c r="F25" s="27">
        <v>24</v>
      </c>
      <c r="G25" s="27">
        <v>7</v>
      </c>
      <c r="H25" s="71">
        <f t="shared" si="1"/>
        <v>0</v>
      </c>
      <c r="I25" s="51"/>
    </row>
    <row r="26" spans="1:9" x14ac:dyDescent="0.25">
      <c r="A26" s="26"/>
      <c r="B26" s="27" t="s">
        <v>649</v>
      </c>
      <c r="C26" s="27"/>
      <c r="D26" s="27"/>
      <c r="E26" s="27">
        <v>6</v>
      </c>
      <c r="F26" s="27">
        <v>24</v>
      </c>
      <c r="G26" s="27">
        <v>7</v>
      </c>
      <c r="H26" s="71">
        <f t="shared" si="1"/>
        <v>0</v>
      </c>
      <c r="I26" s="51"/>
    </row>
    <row r="27" spans="1:9" x14ac:dyDescent="0.25">
      <c r="A27" s="26"/>
      <c r="B27" s="27" t="s">
        <v>655</v>
      </c>
      <c r="C27" s="27"/>
      <c r="D27" s="27"/>
      <c r="E27" s="27">
        <v>27.72</v>
      </c>
      <c r="F27" s="27">
        <v>24</v>
      </c>
      <c r="G27" s="27">
        <v>7</v>
      </c>
      <c r="H27" s="71">
        <f t="shared" si="1"/>
        <v>0</v>
      </c>
      <c r="I27" s="51"/>
    </row>
    <row r="28" spans="1:9" x14ac:dyDescent="0.25">
      <c r="A28" s="26">
        <v>1</v>
      </c>
      <c r="B28" s="27" t="s">
        <v>632</v>
      </c>
      <c r="C28" s="27"/>
      <c r="D28" s="27"/>
      <c r="E28" s="27">
        <v>6.48</v>
      </c>
      <c r="F28" s="27">
        <v>24</v>
      </c>
      <c r="G28" s="27">
        <v>7</v>
      </c>
      <c r="H28" s="71">
        <f t="shared" si="1"/>
        <v>155.52000000000001</v>
      </c>
      <c r="I28" s="51"/>
    </row>
    <row r="29" spans="1:9" x14ac:dyDescent="0.25">
      <c r="A29" s="26"/>
      <c r="B29" s="27" t="s">
        <v>654</v>
      </c>
      <c r="C29" s="27"/>
      <c r="D29" s="27"/>
      <c r="E29" s="27">
        <v>23.52</v>
      </c>
      <c r="F29" s="27">
        <v>24</v>
      </c>
      <c r="G29" s="27">
        <v>7</v>
      </c>
      <c r="H29" s="71">
        <f t="shared" si="1"/>
        <v>0</v>
      </c>
      <c r="I29" s="51"/>
    </row>
    <row r="30" spans="1:9" x14ac:dyDescent="0.25">
      <c r="A30" s="26"/>
      <c r="B30" s="27" t="s">
        <v>650</v>
      </c>
      <c r="C30" s="27"/>
      <c r="D30" s="27"/>
      <c r="E30" s="27">
        <v>8.4</v>
      </c>
      <c r="F30" s="27">
        <v>24</v>
      </c>
      <c r="G30" s="27">
        <v>7</v>
      </c>
      <c r="H30" s="71">
        <f t="shared" si="1"/>
        <v>0</v>
      </c>
      <c r="I30" s="51"/>
    </row>
    <row r="31" spans="1:9" x14ac:dyDescent="0.25">
      <c r="A31" s="26"/>
      <c r="B31" s="27" t="s">
        <v>653</v>
      </c>
      <c r="C31" s="27"/>
      <c r="D31" s="27"/>
      <c r="E31" s="27">
        <v>32.4</v>
      </c>
      <c r="F31" s="27">
        <v>24</v>
      </c>
      <c r="G31" s="27">
        <v>7</v>
      </c>
      <c r="H31" s="71">
        <f t="shared" si="1"/>
        <v>0</v>
      </c>
      <c r="I31" s="51"/>
    </row>
    <row r="32" spans="1:9" x14ac:dyDescent="0.25">
      <c r="A32" s="26"/>
      <c r="B32" s="27" t="s">
        <v>651</v>
      </c>
      <c r="C32" s="27"/>
      <c r="D32" s="27"/>
      <c r="E32" s="27">
        <v>7.2</v>
      </c>
      <c r="F32" s="27">
        <v>24</v>
      </c>
      <c r="G32" s="27">
        <v>7</v>
      </c>
      <c r="H32" s="71">
        <f t="shared" si="1"/>
        <v>0</v>
      </c>
      <c r="I32" s="51"/>
    </row>
    <row r="33" spans="1:9" x14ac:dyDescent="0.25">
      <c r="A33" s="26"/>
      <c r="B33" s="27" t="s">
        <v>652</v>
      </c>
      <c r="C33" s="27"/>
      <c r="D33" s="27"/>
      <c r="E33" s="27">
        <v>30</v>
      </c>
      <c r="F33" s="27">
        <v>24</v>
      </c>
      <c r="G33" s="27">
        <v>7</v>
      </c>
      <c r="H33" s="71">
        <f t="shared" si="1"/>
        <v>0</v>
      </c>
      <c r="I33" s="51"/>
    </row>
    <row r="34" spans="1:9" x14ac:dyDescent="0.25">
      <c r="A34" s="26"/>
      <c r="B34" s="27" t="s">
        <v>660</v>
      </c>
      <c r="C34" s="27"/>
      <c r="D34" s="27"/>
      <c r="E34" s="27">
        <v>8</v>
      </c>
      <c r="F34" s="27">
        <v>3</v>
      </c>
      <c r="G34" s="27">
        <v>1</v>
      </c>
      <c r="H34" s="71">
        <f t="shared" si="1"/>
        <v>0</v>
      </c>
      <c r="I34" s="51"/>
    </row>
    <row r="35" spans="1:9" x14ac:dyDescent="0.25">
      <c r="A35" s="26"/>
      <c r="B35" s="27" t="s">
        <v>658</v>
      </c>
      <c r="C35" s="27"/>
      <c r="D35" s="27"/>
      <c r="E35" s="27">
        <v>11.5</v>
      </c>
      <c r="F35" s="27">
        <v>9.5</v>
      </c>
      <c r="G35" s="27">
        <v>1</v>
      </c>
      <c r="H35" s="71">
        <f>A35*E35*F35*G35/7</f>
        <v>0</v>
      </c>
      <c r="I35" s="51"/>
    </row>
    <row r="36" spans="1:9" x14ac:dyDescent="0.25">
      <c r="A36" s="26">
        <v>1</v>
      </c>
      <c r="B36" s="27" t="s">
        <v>659</v>
      </c>
      <c r="C36" s="27"/>
      <c r="D36" s="27"/>
      <c r="E36" s="27">
        <v>15</v>
      </c>
      <c r="F36" s="27">
        <v>4.5</v>
      </c>
      <c r="G36" s="27">
        <v>1</v>
      </c>
      <c r="H36" s="71">
        <f>A36*E36*F36*G36/7</f>
        <v>9.6428571428571423</v>
      </c>
      <c r="I36" s="51"/>
    </row>
    <row r="37" spans="1:9" x14ac:dyDescent="0.25">
      <c r="A37" s="26">
        <v>3</v>
      </c>
      <c r="B37" s="27" t="s">
        <v>6</v>
      </c>
      <c r="C37" s="27"/>
      <c r="D37" s="27"/>
      <c r="E37" s="27">
        <v>10</v>
      </c>
      <c r="F37" s="27">
        <v>3</v>
      </c>
      <c r="G37" s="27">
        <v>7</v>
      </c>
      <c r="H37" s="71">
        <f t="shared" ref="H37:H104" si="2">A37*E37*F37*G37/7</f>
        <v>90</v>
      </c>
      <c r="I37" s="51"/>
    </row>
    <row r="38" spans="1:9" x14ac:dyDescent="0.25">
      <c r="A38" s="26">
        <v>1</v>
      </c>
      <c r="B38" s="27" t="s">
        <v>90</v>
      </c>
      <c r="C38" s="27"/>
      <c r="D38" s="27"/>
      <c r="E38" s="27">
        <v>6</v>
      </c>
      <c r="F38" s="27">
        <v>2</v>
      </c>
      <c r="G38" s="27">
        <v>7</v>
      </c>
      <c r="H38" s="71">
        <f t="shared" si="2"/>
        <v>12</v>
      </c>
      <c r="I38" s="51"/>
    </row>
    <row r="39" spans="1:9" x14ac:dyDescent="0.25">
      <c r="A39" s="26">
        <v>1</v>
      </c>
      <c r="B39" s="27" t="s">
        <v>91</v>
      </c>
      <c r="C39" s="27"/>
      <c r="D39" s="27"/>
      <c r="E39" s="27">
        <v>45</v>
      </c>
      <c r="F39" s="27">
        <v>2</v>
      </c>
      <c r="G39" s="27">
        <v>1</v>
      </c>
      <c r="H39" s="71">
        <f t="shared" si="2"/>
        <v>12.857142857142858</v>
      </c>
      <c r="I39" s="51"/>
    </row>
    <row r="40" spans="1:9" x14ac:dyDescent="0.25">
      <c r="A40" s="26">
        <v>1</v>
      </c>
      <c r="B40" s="27" t="s">
        <v>662</v>
      </c>
      <c r="C40" s="27"/>
      <c r="D40" s="27"/>
      <c r="E40" s="27">
        <v>35</v>
      </c>
      <c r="F40" s="27">
        <v>3</v>
      </c>
      <c r="G40" s="27">
        <v>7</v>
      </c>
      <c r="H40" s="71">
        <f t="shared" si="2"/>
        <v>105</v>
      </c>
    </row>
    <row r="41" spans="1:9" x14ac:dyDescent="0.25">
      <c r="A41" s="26"/>
      <c r="B41" s="27" t="s">
        <v>633</v>
      </c>
      <c r="C41" s="27"/>
      <c r="D41" s="27"/>
      <c r="E41" s="27">
        <v>100</v>
      </c>
      <c r="F41" s="27">
        <v>24</v>
      </c>
      <c r="G41" s="27">
        <v>7</v>
      </c>
      <c r="H41" s="71">
        <f t="shared" si="2"/>
        <v>0</v>
      </c>
    </row>
    <row r="42" spans="1:9" x14ac:dyDescent="0.25">
      <c r="A42" s="26"/>
      <c r="B42" s="27" t="s">
        <v>7</v>
      </c>
      <c r="C42" s="27"/>
      <c r="D42" s="27"/>
      <c r="E42" s="27">
        <v>30</v>
      </c>
      <c r="F42" s="27">
        <v>8</v>
      </c>
      <c r="G42" s="27">
        <v>7</v>
      </c>
      <c r="H42" s="71">
        <f t="shared" si="2"/>
        <v>0</v>
      </c>
    </row>
    <row r="43" spans="1:9" x14ac:dyDescent="0.25">
      <c r="A43" s="26"/>
      <c r="B43" s="27" t="s">
        <v>8</v>
      </c>
      <c r="C43" s="27"/>
      <c r="D43" s="27"/>
      <c r="E43" s="27">
        <v>5</v>
      </c>
      <c r="F43" s="27">
        <v>4</v>
      </c>
      <c r="G43" s="27">
        <v>4</v>
      </c>
      <c r="H43" s="71">
        <f t="shared" si="2"/>
        <v>0</v>
      </c>
    </row>
    <row r="44" spans="1:9" x14ac:dyDescent="0.25">
      <c r="A44" s="26"/>
      <c r="B44" s="27" t="s">
        <v>27</v>
      </c>
      <c r="C44" s="27"/>
      <c r="D44" s="27"/>
      <c r="E44" s="27">
        <v>200</v>
      </c>
      <c r="F44" s="27">
        <v>0.25</v>
      </c>
      <c r="G44" s="27">
        <v>5</v>
      </c>
      <c r="H44" s="71">
        <f t="shared" si="2"/>
        <v>0</v>
      </c>
    </row>
    <row r="45" spans="1:9" x14ac:dyDescent="0.25">
      <c r="A45" s="26"/>
      <c r="B45" s="27" t="s">
        <v>28</v>
      </c>
      <c r="C45" s="27"/>
      <c r="D45" s="27"/>
      <c r="E45" s="27">
        <v>800</v>
      </c>
      <c r="F45" s="27">
        <v>0.25</v>
      </c>
      <c r="G45" s="27">
        <v>7</v>
      </c>
      <c r="H45" s="71">
        <f t="shared" si="2"/>
        <v>0</v>
      </c>
    </row>
    <row r="46" spans="1:9" x14ac:dyDescent="0.25">
      <c r="A46" s="26"/>
      <c r="B46" s="27" t="s">
        <v>29</v>
      </c>
      <c r="C46" s="27"/>
      <c r="D46" s="27"/>
      <c r="E46" s="27">
        <v>1500</v>
      </c>
      <c r="F46" s="27">
        <v>0.1</v>
      </c>
      <c r="G46" s="27">
        <v>3</v>
      </c>
      <c r="H46" s="71">
        <f t="shared" si="2"/>
        <v>0</v>
      </c>
    </row>
    <row r="47" spans="1:9" x14ac:dyDescent="0.25">
      <c r="A47" s="26"/>
      <c r="B47" s="27" t="s">
        <v>30</v>
      </c>
      <c r="C47" s="27"/>
      <c r="D47" s="27"/>
      <c r="E47" s="27">
        <v>250</v>
      </c>
      <c r="F47" s="27">
        <v>0.1</v>
      </c>
      <c r="G47" s="27">
        <v>1</v>
      </c>
      <c r="H47" s="71">
        <f t="shared" si="2"/>
        <v>0</v>
      </c>
    </row>
    <row r="48" spans="1:9" x14ac:dyDescent="0.25">
      <c r="A48" s="26"/>
      <c r="B48" s="27" t="s">
        <v>31</v>
      </c>
      <c r="C48" s="27"/>
      <c r="D48" s="27"/>
      <c r="E48" s="27">
        <v>300</v>
      </c>
      <c r="F48" s="27">
        <v>0.05</v>
      </c>
      <c r="G48" s="27">
        <v>2</v>
      </c>
      <c r="H48" s="71">
        <f t="shared" si="2"/>
        <v>0</v>
      </c>
    </row>
    <row r="49" spans="1:8" x14ac:dyDescent="0.25">
      <c r="A49" s="26"/>
      <c r="B49" s="27" t="s">
        <v>32</v>
      </c>
      <c r="C49" s="27"/>
      <c r="D49" s="27"/>
      <c r="E49" s="27">
        <v>1500</v>
      </c>
      <c r="F49" s="27">
        <f>1/12</f>
        <v>8.3333333333333329E-2</v>
      </c>
      <c r="G49" s="27">
        <v>4</v>
      </c>
      <c r="H49" s="71">
        <f t="shared" si="2"/>
        <v>0</v>
      </c>
    </row>
    <row r="50" spans="1:8" x14ac:dyDescent="0.25">
      <c r="A50" s="26"/>
      <c r="B50" s="27" t="s">
        <v>33</v>
      </c>
      <c r="C50" s="27"/>
      <c r="D50" s="27"/>
      <c r="E50" s="27">
        <v>1200</v>
      </c>
      <c r="F50" s="27">
        <v>0.5</v>
      </c>
      <c r="G50" s="27">
        <v>7</v>
      </c>
      <c r="H50" s="71">
        <f t="shared" si="2"/>
        <v>0</v>
      </c>
    </row>
    <row r="51" spans="1:8" x14ac:dyDescent="0.25">
      <c r="A51" s="26"/>
      <c r="B51" s="27" t="s">
        <v>34</v>
      </c>
      <c r="C51" s="27"/>
      <c r="D51" s="27"/>
      <c r="E51" s="27">
        <v>1200</v>
      </c>
      <c r="F51" s="27">
        <v>0.5</v>
      </c>
      <c r="G51" s="27">
        <v>7</v>
      </c>
      <c r="H51" s="71">
        <f t="shared" si="2"/>
        <v>0</v>
      </c>
    </row>
    <row r="52" spans="1:8" x14ac:dyDescent="0.25">
      <c r="A52" s="26"/>
      <c r="B52" s="27" t="s">
        <v>35</v>
      </c>
      <c r="C52" s="27"/>
      <c r="D52" s="27"/>
      <c r="E52" s="27">
        <v>1200</v>
      </c>
      <c r="F52" s="27">
        <v>1</v>
      </c>
      <c r="G52" s="27">
        <v>7</v>
      </c>
      <c r="H52" s="71">
        <f t="shared" si="2"/>
        <v>0</v>
      </c>
    </row>
    <row r="53" spans="1:8" x14ac:dyDescent="0.25">
      <c r="A53" s="26"/>
      <c r="B53" s="27" t="s">
        <v>36</v>
      </c>
      <c r="C53" s="27"/>
      <c r="D53" s="27"/>
      <c r="E53" s="27">
        <v>1500</v>
      </c>
      <c r="F53" s="27">
        <v>1</v>
      </c>
      <c r="G53" s="27">
        <v>3</v>
      </c>
      <c r="H53" s="71">
        <f t="shared" si="2"/>
        <v>0</v>
      </c>
    </row>
    <row r="54" spans="1:8" x14ac:dyDescent="0.25">
      <c r="A54" s="26"/>
      <c r="B54" s="27" t="s">
        <v>37</v>
      </c>
      <c r="C54" s="27"/>
      <c r="D54" s="27"/>
      <c r="E54" s="27">
        <v>450</v>
      </c>
      <c r="F54" s="27">
        <v>0.25</v>
      </c>
      <c r="G54" s="27">
        <v>7</v>
      </c>
      <c r="H54" s="71">
        <f t="shared" si="2"/>
        <v>0</v>
      </c>
    </row>
    <row r="55" spans="1:8" x14ac:dyDescent="0.25">
      <c r="A55" s="26"/>
      <c r="B55" s="27" t="s">
        <v>38</v>
      </c>
      <c r="C55" s="27"/>
      <c r="D55" s="27"/>
      <c r="E55" s="27">
        <v>500</v>
      </c>
      <c r="F55" s="27">
        <v>1</v>
      </c>
      <c r="G55" s="27">
        <v>3</v>
      </c>
      <c r="H55" s="71">
        <f t="shared" si="2"/>
        <v>0</v>
      </c>
    </row>
    <row r="56" spans="1:8" x14ac:dyDescent="0.25">
      <c r="A56" s="26"/>
      <c r="B56" s="27" t="s">
        <v>39</v>
      </c>
      <c r="C56" s="27"/>
      <c r="D56" s="27"/>
      <c r="E56" s="27">
        <v>700</v>
      </c>
      <c r="F56" s="27">
        <v>0.5</v>
      </c>
      <c r="G56" s="27">
        <v>1</v>
      </c>
      <c r="H56" s="71">
        <f t="shared" si="2"/>
        <v>0</v>
      </c>
    </row>
    <row r="57" spans="1:8" x14ac:dyDescent="0.25">
      <c r="A57" s="26"/>
      <c r="B57" s="27" t="s">
        <v>40</v>
      </c>
      <c r="C57" s="27"/>
      <c r="D57" s="27"/>
      <c r="E57" s="27">
        <v>100</v>
      </c>
      <c r="F57" s="27">
        <v>0.5</v>
      </c>
      <c r="G57" s="27">
        <v>1</v>
      </c>
      <c r="H57" s="71">
        <f t="shared" si="2"/>
        <v>0</v>
      </c>
    </row>
    <row r="58" spans="1:8" x14ac:dyDescent="0.25">
      <c r="A58" s="26"/>
      <c r="B58" s="27" t="s">
        <v>41</v>
      </c>
      <c r="C58" s="27"/>
      <c r="D58" s="27"/>
      <c r="E58" s="27">
        <v>100</v>
      </c>
      <c r="F58" s="27">
        <v>0.5</v>
      </c>
      <c r="G58" s="27">
        <v>1</v>
      </c>
      <c r="H58" s="71">
        <f t="shared" si="2"/>
        <v>0</v>
      </c>
    </row>
    <row r="59" spans="1:8" x14ac:dyDescent="0.25">
      <c r="A59" s="26"/>
      <c r="B59" s="27" t="s">
        <v>42</v>
      </c>
      <c r="C59" s="27"/>
      <c r="D59" s="27"/>
      <c r="E59" s="27">
        <v>1000</v>
      </c>
      <c r="F59" s="27">
        <v>0.5</v>
      </c>
      <c r="G59" s="27">
        <v>3</v>
      </c>
      <c r="H59" s="71">
        <f t="shared" si="2"/>
        <v>0</v>
      </c>
    </row>
    <row r="60" spans="1:8" x14ac:dyDescent="0.25">
      <c r="A60" s="26"/>
      <c r="B60" s="27" t="s">
        <v>43</v>
      </c>
      <c r="C60" s="27"/>
      <c r="D60" s="27"/>
      <c r="E60" s="27">
        <v>4000</v>
      </c>
      <c r="F60" s="27">
        <v>1</v>
      </c>
      <c r="G60" s="27">
        <v>3</v>
      </c>
      <c r="H60" s="71">
        <f t="shared" si="2"/>
        <v>0</v>
      </c>
    </row>
    <row r="61" spans="1:8" x14ac:dyDescent="0.25">
      <c r="A61" s="26"/>
      <c r="B61" s="27" t="s">
        <v>44</v>
      </c>
      <c r="C61" s="27"/>
      <c r="D61" s="27"/>
      <c r="E61" s="27">
        <v>400</v>
      </c>
      <c r="F61" s="27">
        <v>1</v>
      </c>
      <c r="G61" s="27">
        <v>3</v>
      </c>
      <c r="H61" s="71">
        <f t="shared" si="2"/>
        <v>0</v>
      </c>
    </row>
    <row r="62" spans="1:8" x14ac:dyDescent="0.25">
      <c r="A62" s="26"/>
      <c r="B62" s="27" t="s">
        <v>45</v>
      </c>
      <c r="C62" s="27"/>
      <c r="D62" s="27"/>
      <c r="E62" s="27">
        <v>1500</v>
      </c>
      <c r="F62" s="27"/>
      <c r="G62" s="27"/>
      <c r="H62" s="71">
        <f t="shared" si="2"/>
        <v>0</v>
      </c>
    </row>
    <row r="63" spans="1:8" x14ac:dyDescent="0.25">
      <c r="A63" s="26"/>
      <c r="B63" s="27" t="s">
        <v>46</v>
      </c>
      <c r="C63" s="27"/>
      <c r="D63" s="27"/>
      <c r="E63" s="27">
        <v>400</v>
      </c>
      <c r="F63" s="27"/>
      <c r="G63" s="27"/>
      <c r="H63" s="71">
        <f t="shared" si="2"/>
        <v>0</v>
      </c>
    </row>
    <row r="64" spans="1:8" x14ac:dyDescent="0.25">
      <c r="A64" s="26"/>
      <c r="B64" s="27" t="s">
        <v>47</v>
      </c>
      <c r="C64" s="27"/>
      <c r="D64" s="27"/>
      <c r="E64" s="27">
        <v>100</v>
      </c>
      <c r="F64" s="27"/>
      <c r="G64" s="27"/>
      <c r="H64" s="71">
        <f t="shared" si="2"/>
        <v>0</v>
      </c>
    </row>
    <row r="65" spans="1:8" x14ac:dyDescent="0.25">
      <c r="A65" s="26"/>
      <c r="B65" s="27" t="s">
        <v>48</v>
      </c>
      <c r="C65" s="27"/>
      <c r="D65" s="27"/>
      <c r="E65" s="27">
        <v>1000</v>
      </c>
      <c r="F65" s="27"/>
      <c r="G65" s="27"/>
      <c r="H65" s="71">
        <f t="shared" si="2"/>
        <v>0</v>
      </c>
    </row>
    <row r="66" spans="1:8" x14ac:dyDescent="0.25">
      <c r="A66" s="26"/>
      <c r="B66" s="27" t="s">
        <v>49</v>
      </c>
      <c r="C66" s="27"/>
      <c r="D66" s="27"/>
      <c r="E66" s="27">
        <v>1000</v>
      </c>
      <c r="F66" s="27">
        <v>3</v>
      </c>
      <c r="G66" s="27">
        <v>4</v>
      </c>
      <c r="H66" s="71">
        <f t="shared" si="2"/>
        <v>0</v>
      </c>
    </row>
    <row r="67" spans="1:8" x14ac:dyDescent="0.25">
      <c r="A67" s="26"/>
      <c r="B67" s="27" t="s">
        <v>50</v>
      </c>
      <c r="C67" s="27"/>
      <c r="D67" s="27"/>
      <c r="E67" s="27">
        <v>5000</v>
      </c>
      <c r="F67" s="27"/>
      <c r="G67" s="27"/>
      <c r="H67" s="71">
        <f t="shared" si="2"/>
        <v>0</v>
      </c>
    </row>
    <row r="68" spans="1:8" x14ac:dyDescent="0.25">
      <c r="A68" s="26"/>
      <c r="B68" s="27" t="s">
        <v>51</v>
      </c>
      <c r="C68" s="27"/>
      <c r="D68" s="27"/>
      <c r="E68" s="27">
        <v>350</v>
      </c>
      <c r="F68" s="27">
        <v>0.05</v>
      </c>
      <c r="G68" s="27">
        <v>5</v>
      </c>
      <c r="H68" s="71">
        <f t="shared" si="2"/>
        <v>0</v>
      </c>
    </row>
    <row r="69" spans="1:8" x14ac:dyDescent="0.25">
      <c r="A69" s="26"/>
      <c r="B69" s="27" t="s">
        <v>52</v>
      </c>
      <c r="C69" s="27"/>
      <c r="D69" s="27"/>
      <c r="E69" s="27">
        <v>50</v>
      </c>
      <c r="F69" s="27">
        <v>5</v>
      </c>
      <c r="G69" s="27">
        <v>7</v>
      </c>
      <c r="H69" s="71">
        <f t="shared" si="2"/>
        <v>0</v>
      </c>
    </row>
    <row r="70" spans="1:8" x14ac:dyDescent="0.25">
      <c r="A70" s="26"/>
      <c r="B70" s="27" t="s">
        <v>53</v>
      </c>
      <c r="C70" s="27"/>
      <c r="D70" s="27"/>
      <c r="E70" s="27">
        <v>25</v>
      </c>
      <c r="F70" s="27">
        <v>5</v>
      </c>
      <c r="G70" s="27">
        <v>7</v>
      </c>
      <c r="H70" s="71">
        <f t="shared" si="2"/>
        <v>0</v>
      </c>
    </row>
    <row r="71" spans="1:8" x14ac:dyDescent="0.25">
      <c r="A71" s="26"/>
      <c r="B71" s="27" t="s">
        <v>54</v>
      </c>
      <c r="C71" s="27"/>
      <c r="D71" s="27"/>
      <c r="E71" s="27">
        <v>200</v>
      </c>
      <c r="F71" s="27"/>
      <c r="G71" s="27"/>
      <c r="H71" s="71">
        <f t="shared" si="2"/>
        <v>0</v>
      </c>
    </row>
    <row r="72" spans="1:8" x14ac:dyDescent="0.25">
      <c r="A72" s="26"/>
      <c r="B72" s="27" t="s">
        <v>55</v>
      </c>
      <c r="C72" s="27"/>
      <c r="D72" s="27"/>
      <c r="E72" s="27">
        <v>1000</v>
      </c>
      <c r="F72" s="27">
        <v>0.04</v>
      </c>
      <c r="G72" s="27">
        <v>5</v>
      </c>
      <c r="H72" s="71">
        <f t="shared" si="2"/>
        <v>0</v>
      </c>
    </row>
    <row r="73" spans="1:8" x14ac:dyDescent="0.25">
      <c r="A73" s="26"/>
      <c r="B73" s="27" t="s">
        <v>56</v>
      </c>
      <c r="C73" s="27"/>
      <c r="D73" s="27"/>
      <c r="E73" s="27">
        <v>15</v>
      </c>
      <c r="F73" s="27">
        <v>0.04</v>
      </c>
      <c r="G73" s="27">
        <v>5</v>
      </c>
      <c r="H73" s="71">
        <f t="shared" si="2"/>
        <v>0</v>
      </c>
    </row>
    <row r="74" spans="1:8" x14ac:dyDescent="0.25">
      <c r="A74" s="26"/>
      <c r="B74" s="27" t="s">
        <v>57</v>
      </c>
      <c r="C74" s="27"/>
      <c r="D74" s="27"/>
      <c r="E74" s="27">
        <v>100</v>
      </c>
      <c r="F74" s="27">
        <v>0.04</v>
      </c>
      <c r="G74" s="27">
        <v>7</v>
      </c>
      <c r="H74" s="71">
        <f t="shared" si="2"/>
        <v>0</v>
      </c>
    </row>
    <row r="75" spans="1:8" x14ac:dyDescent="0.25">
      <c r="A75" s="26"/>
      <c r="B75" s="27" t="s">
        <v>58</v>
      </c>
      <c r="C75" s="27"/>
      <c r="D75" s="27"/>
      <c r="E75" s="27">
        <v>50</v>
      </c>
      <c r="F75" s="27">
        <v>4</v>
      </c>
      <c r="G75" s="27">
        <v>3</v>
      </c>
      <c r="H75" s="71">
        <f t="shared" si="2"/>
        <v>0</v>
      </c>
    </row>
    <row r="76" spans="1:8" x14ac:dyDescent="0.25">
      <c r="A76" s="26"/>
      <c r="B76" s="27" t="s">
        <v>59</v>
      </c>
      <c r="C76" s="27"/>
      <c r="D76" s="27"/>
      <c r="E76" s="27">
        <v>150</v>
      </c>
      <c r="F76" s="27">
        <v>4</v>
      </c>
      <c r="G76" s="27">
        <v>3</v>
      </c>
      <c r="H76" s="71">
        <f t="shared" si="2"/>
        <v>0</v>
      </c>
    </row>
    <row r="77" spans="1:8" x14ac:dyDescent="0.25">
      <c r="A77" s="26"/>
      <c r="B77" s="27" t="s">
        <v>60</v>
      </c>
      <c r="C77" s="27"/>
      <c r="D77" s="27"/>
      <c r="E77" s="27">
        <v>100</v>
      </c>
      <c r="F77" s="27">
        <v>0.1</v>
      </c>
      <c r="G77" s="27">
        <v>3</v>
      </c>
      <c r="H77" s="71">
        <f t="shared" si="2"/>
        <v>0</v>
      </c>
    </row>
    <row r="78" spans="1:8" x14ac:dyDescent="0.25">
      <c r="A78" s="26"/>
      <c r="B78" s="27" t="s">
        <v>219</v>
      </c>
      <c r="C78" s="27"/>
      <c r="D78" s="27"/>
      <c r="E78" s="27">
        <v>30</v>
      </c>
      <c r="F78" s="27">
        <v>4</v>
      </c>
      <c r="G78" s="27">
        <v>5</v>
      </c>
      <c r="H78" s="71">
        <f t="shared" si="2"/>
        <v>0</v>
      </c>
    </row>
    <row r="79" spans="1:8" x14ac:dyDescent="0.25">
      <c r="A79" s="26"/>
      <c r="B79" s="27" t="s">
        <v>217</v>
      </c>
      <c r="C79" s="27"/>
      <c r="D79" s="27"/>
      <c r="E79" s="27">
        <v>40</v>
      </c>
      <c r="F79" s="27">
        <v>4</v>
      </c>
      <c r="G79" s="27">
        <v>5</v>
      </c>
      <c r="H79" s="71">
        <f t="shared" si="2"/>
        <v>0</v>
      </c>
    </row>
    <row r="80" spans="1:8" x14ac:dyDescent="0.25">
      <c r="A80" s="26"/>
      <c r="B80" s="27" t="s">
        <v>218</v>
      </c>
      <c r="C80" s="27"/>
      <c r="D80" s="27"/>
      <c r="E80" s="27">
        <v>50</v>
      </c>
      <c r="F80" s="27">
        <v>4</v>
      </c>
      <c r="G80" s="27">
        <v>5</v>
      </c>
      <c r="H80" s="71">
        <f t="shared" si="2"/>
        <v>0</v>
      </c>
    </row>
    <row r="81" spans="1:8" x14ac:dyDescent="0.25">
      <c r="A81" s="26"/>
      <c r="B81" s="27" t="s">
        <v>215</v>
      </c>
      <c r="C81" s="27"/>
      <c r="D81" s="27"/>
      <c r="E81" s="27">
        <v>97</v>
      </c>
      <c r="F81" s="27">
        <v>4</v>
      </c>
      <c r="G81" s="27">
        <v>5</v>
      </c>
      <c r="H81" s="71">
        <f t="shared" si="2"/>
        <v>0</v>
      </c>
    </row>
    <row r="82" spans="1:8" x14ac:dyDescent="0.25">
      <c r="A82" s="26"/>
      <c r="B82" s="27" t="s">
        <v>216</v>
      </c>
      <c r="C82" s="27"/>
      <c r="D82" s="27"/>
      <c r="E82" s="27">
        <v>135</v>
      </c>
      <c r="F82" s="27">
        <v>4</v>
      </c>
      <c r="G82" s="27">
        <v>5</v>
      </c>
      <c r="H82" s="71">
        <f t="shared" si="2"/>
        <v>0</v>
      </c>
    </row>
    <row r="83" spans="1:8" x14ac:dyDescent="0.25">
      <c r="A83" s="26"/>
      <c r="B83" s="27" t="s">
        <v>212</v>
      </c>
      <c r="C83" s="27"/>
      <c r="D83" s="27"/>
      <c r="E83" s="27">
        <v>40</v>
      </c>
      <c r="F83" s="27">
        <v>3</v>
      </c>
      <c r="G83" s="27">
        <v>7</v>
      </c>
      <c r="H83" s="71">
        <f t="shared" si="2"/>
        <v>0</v>
      </c>
    </row>
    <row r="84" spans="1:8" x14ac:dyDescent="0.25">
      <c r="A84" s="26"/>
      <c r="B84" s="27" t="s">
        <v>61</v>
      </c>
      <c r="C84" s="27"/>
      <c r="D84" s="27"/>
      <c r="E84" s="27">
        <v>35</v>
      </c>
      <c r="F84" s="27">
        <v>2</v>
      </c>
      <c r="G84" s="27">
        <v>7</v>
      </c>
      <c r="H84" s="71">
        <f t="shared" si="2"/>
        <v>0</v>
      </c>
    </row>
    <row r="85" spans="1:8" x14ac:dyDescent="0.25">
      <c r="A85" s="26"/>
      <c r="B85" s="27" t="s">
        <v>62</v>
      </c>
      <c r="C85" s="27"/>
      <c r="D85" s="27"/>
      <c r="E85" s="27">
        <v>30</v>
      </c>
      <c r="F85" s="27">
        <v>2</v>
      </c>
      <c r="G85" s="27">
        <v>7</v>
      </c>
      <c r="H85" s="71">
        <f t="shared" si="2"/>
        <v>0</v>
      </c>
    </row>
    <row r="86" spans="1:8" x14ac:dyDescent="0.25">
      <c r="A86" s="26"/>
      <c r="B86" s="27" t="s">
        <v>63</v>
      </c>
      <c r="C86" s="27"/>
      <c r="D86" s="27"/>
      <c r="E86" s="27">
        <v>1</v>
      </c>
      <c r="F86" s="27">
        <v>24</v>
      </c>
      <c r="G86" s="27">
        <v>7</v>
      </c>
      <c r="H86" s="71">
        <f t="shared" si="2"/>
        <v>0</v>
      </c>
    </row>
    <row r="87" spans="1:8" x14ac:dyDescent="0.25">
      <c r="A87" s="26"/>
      <c r="B87" s="27" t="s">
        <v>64</v>
      </c>
      <c r="C87" s="27"/>
      <c r="D87" s="27"/>
      <c r="E87" s="27">
        <v>30</v>
      </c>
      <c r="F87" s="27">
        <v>3</v>
      </c>
      <c r="G87" s="27">
        <v>7</v>
      </c>
      <c r="H87" s="71">
        <f t="shared" si="2"/>
        <v>0</v>
      </c>
    </row>
    <row r="88" spans="1:8" x14ac:dyDescent="0.25">
      <c r="A88" s="26"/>
      <c r="B88" s="27" t="s">
        <v>65</v>
      </c>
      <c r="C88" s="27"/>
      <c r="D88" s="27"/>
      <c r="E88" s="27">
        <v>3</v>
      </c>
      <c r="F88" s="27">
        <v>24</v>
      </c>
      <c r="G88" s="27">
        <v>7</v>
      </c>
      <c r="H88" s="71">
        <f t="shared" si="2"/>
        <v>0</v>
      </c>
    </row>
    <row r="89" spans="1:8" x14ac:dyDescent="0.25">
      <c r="A89" s="26"/>
      <c r="B89" s="27" t="s">
        <v>66</v>
      </c>
      <c r="C89" s="27"/>
      <c r="D89" s="27"/>
      <c r="E89" s="27">
        <v>100</v>
      </c>
      <c r="F89" s="27">
        <v>4</v>
      </c>
      <c r="G89" s="27">
        <v>7</v>
      </c>
      <c r="H89" s="71">
        <f t="shared" si="2"/>
        <v>0</v>
      </c>
    </row>
    <row r="90" spans="1:8" x14ac:dyDescent="0.25">
      <c r="A90" s="26"/>
      <c r="B90" s="27" t="s">
        <v>67</v>
      </c>
      <c r="C90" s="27"/>
      <c r="D90" s="27"/>
      <c r="E90" s="27">
        <v>28</v>
      </c>
      <c r="F90" s="27">
        <v>4</v>
      </c>
      <c r="G90" s="27">
        <v>7</v>
      </c>
      <c r="H90" s="71">
        <f t="shared" si="2"/>
        <v>0</v>
      </c>
    </row>
    <row r="91" spans="1:8" x14ac:dyDescent="0.25">
      <c r="A91" s="26"/>
      <c r="B91" s="27" t="s">
        <v>68</v>
      </c>
      <c r="C91" s="27"/>
      <c r="D91" s="27"/>
      <c r="E91" s="27">
        <v>50</v>
      </c>
      <c r="F91" s="27">
        <v>4</v>
      </c>
      <c r="G91" s="27">
        <v>7</v>
      </c>
      <c r="H91" s="71">
        <f t="shared" si="2"/>
        <v>0</v>
      </c>
    </row>
    <row r="92" spans="1:8" x14ac:dyDescent="0.25">
      <c r="A92" s="26"/>
      <c r="B92" s="27" t="s">
        <v>69</v>
      </c>
      <c r="C92" s="27"/>
      <c r="D92" s="27"/>
      <c r="E92" s="27">
        <v>40</v>
      </c>
      <c r="F92" s="27">
        <v>4</v>
      </c>
      <c r="G92" s="27">
        <v>7</v>
      </c>
      <c r="H92" s="71">
        <f t="shared" si="2"/>
        <v>0</v>
      </c>
    </row>
    <row r="93" spans="1:8" x14ac:dyDescent="0.25">
      <c r="A93" s="26"/>
      <c r="B93" s="27" t="s">
        <v>220</v>
      </c>
      <c r="C93" s="27"/>
      <c r="D93" s="27"/>
      <c r="E93" s="27">
        <v>19</v>
      </c>
      <c r="F93" s="27">
        <v>4</v>
      </c>
      <c r="G93" s="27">
        <v>7</v>
      </c>
      <c r="H93" s="71">
        <f t="shared" si="2"/>
        <v>0</v>
      </c>
    </row>
    <row r="94" spans="1:8" x14ac:dyDescent="0.25">
      <c r="A94" s="26"/>
      <c r="B94" s="27" t="s">
        <v>221</v>
      </c>
      <c r="C94" s="27"/>
      <c r="D94" s="27"/>
      <c r="E94" s="27">
        <v>15</v>
      </c>
      <c r="F94" s="27">
        <v>4</v>
      </c>
      <c r="G94" s="27">
        <v>7</v>
      </c>
      <c r="H94" s="71">
        <f t="shared" si="2"/>
        <v>0</v>
      </c>
    </row>
    <row r="95" spans="1:8" x14ac:dyDescent="0.25">
      <c r="A95" s="26"/>
      <c r="B95" s="27" t="s">
        <v>222</v>
      </c>
      <c r="C95" s="27"/>
      <c r="D95" s="27"/>
      <c r="E95" s="27">
        <v>10</v>
      </c>
      <c r="F95" s="27">
        <v>4</v>
      </c>
      <c r="G95" s="27">
        <v>7</v>
      </c>
      <c r="H95" s="71">
        <f t="shared" si="2"/>
        <v>0</v>
      </c>
    </row>
    <row r="96" spans="1:8" x14ac:dyDescent="0.25">
      <c r="A96" s="26"/>
      <c r="B96" s="27" t="s">
        <v>223</v>
      </c>
      <c r="C96" s="27"/>
      <c r="D96" s="27"/>
      <c r="E96" s="27">
        <v>5</v>
      </c>
      <c r="F96" s="27">
        <v>4</v>
      </c>
      <c r="G96" s="27">
        <v>7</v>
      </c>
      <c r="H96" s="71">
        <f t="shared" si="2"/>
        <v>0</v>
      </c>
    </row>
    <row r="97" spans="1:8" x14ac:dyDescent="0.25">
      <c r="A97" s="26"/>
      <c r="B97" s="27" t="s">
        <v>70</v>
      </c>
      <c r="C97" s="27"/>
      <c r="D97" s="27"/>
      <c r="E97" s="27">
        <v>1500</v>
      </c>
      <c r="F97" s="27">
        <v>1</v>
      </c>
      <c r="G97" s="27">
        <v>1</v>
      </c>
      <c r="H97" s="71">
        <f t="shared" si="2"/>
        <v>0</v>
      </c>
    </row>
    <row r="98" spans="1:8" x14ac:dyDescent="0.25">
      <c r="A98" s="26"/>
      <c r="B98" s="27" t="s">
        <v>71</v>
      </c>
      <c r="C98" s="27"/>
      <c r="D98" s="27"/>
      <c r="E98" s="27">
        <v>450</v>
      </c>
      <c r="F98" s="27">
        <v>1</v>
      </c>
      <c r="G98" s="27">
        <v>1</v>
      </c>
      <c r="H98" s="71">
        <f t="shared" si="2"/>
        <v>0</v>
      </c>
    </row>
    <row r="99" spans="1:8" x14ac:dyDescent="0.25">
      <c r="A99" s="26"/>
      <c r="B99" s="27" t="s">
        <v>72</v>
      </c>
      <c r="C99" s="27"/>
      <c r="D99" s="27"/>
      <c r="E99" s="27">
        <v>450</v>
      </c>
      <c r="F99" s="27">
        <v>1</v>
      </c>
      <c r="G99" s="27">
        <v>1</v>
      </c>
      <c r="H99" s="71">
        <f t="shared" si="2"/>
        <v>0</v>
      </c>
    </row>
    <row r="100" spans="1:8" x14ac:dyDescent="0.25">
      <c r="A100" s="26"/>
      <c r="B100" s="27" t="s">
        <v>73</v>
      </c>
      <c r="C100" s="27"/>
      <c r="D100" s="27"/>
      <c r="E100" s="27">
        <v>250</v>
      </c>
      <c r="F100" s="27">
        <v>1</v>
      </c>
      <c r="G100" s="27">
        <v>1</v>
      </c>
      <c r="H100" s="71">
        <f t="shared" si="2"/>
        <v>0</v>
      </c>
    </row>
    <row r="101" spans="1:8" x14ac:dyDescent="0.25">
      <c r="A101" s="26"/>
      <c r="B101" s="27" t="s">
        <v>74</v>
      </c>
      <c r="C101" s="27"/>
      <c r="D101" s="27"/>
      <c r="E101" s="27">
        <v>750</v>
      </c>
      <c r="F101" s="27">
        <v>1</v>
      </c>
      <c r="G101" s="27">
        <v>1</v>
      </c>
      <c r="H101" s="71">
        <f t="shared" si="2"/>
        <v>0</v>
      </c>
    </row>
    <row r="102" spans="1:8" x14ac:dyDescent="0.25">
      <c r="A102" s="26"/>
      <c r="B102" s="27" t="s">
        <v>75</v>
      </c>
      <c r="C102" s="27"/>
      <c r="D102" s="27"/>
      <c r="E102" s="27">
        <v>1000</v>
      </c>
      <c r="F102" s="27">
        <v>1</v>
      </c>
      <c r="G102" s="27">
        <v>1</v>
      </c>
      <c r="H102" s="71">
        <f t="shared" si="2"/>
        <v>0</v>
      </c>
    </row>
    <row r="103" spans="1:8" x14ac:dyDescent="0.25">
      <c r="A103" s="26"/>
      <c r="B103" s="27" t="s">
        <v>76</v>
      </c>
      <c r="C103" s="27"/>
      <c r="D103" s="27"/>
      <c r="E103" s="27">
        <v>1200</v>
      </c>
      <c r="F103" s="27">
        <v>1</v>
      </c>
      <c r="G103" s="27">
        <v>1</v>
      </c>
      <c r="H103" s="71">
        <f t="shared" si="2"/>
        <v>0</v>
      </c>
    </row>
    <row r="104" spans="1:8" x14ac:dyDescent="0.25">
      <c r="A104" s="26"/>
      <c r="B104" s="27" t="s">
        <v>77</v>
      </c>
      <c r="C104" s="27"/>
      <c r="D104" s="27"/>
      <c r="E104" s="27">
        <v>1000</v>
      </c>
      <c r="F104" s="27">
        <v>1</v>
      </c>
      <c r="G104" s="27">
        <v>1</v>
      </c>
      <c r="H104" s="71">
        <f t="shared" si="2"/>
        <v>0</v>
      </c>
    </row>
    <row r="105" spans="1:8" x14ac:dyDescent="0.25">
      <c r="A105" s="26"/>
      <c r="B105" s="27" t="s">
        <v>78</v>
      </c>
      <c r="C105" s="27"/>
      <c r="D105" s="27"/>
      <c r="E105" s="27">
        <v>1100</v>
      </c>
      <c r="F105" s="27">
        <v>1</v>
      </c>
      <c r="G105" s="27">
        <v>1</v>
      </c>
      <c r="H105" s="71">
        <f t="shared" ref="H105:H119" si="3">A105*E105*F105*G105/7</f>
        <v>0</v>
      </c>
    </row>
    <row r="106" spans="1:8" x14ac:dyDescent="0.25">
      <c r="A106" s="26"/>
      <c r="B106" s="27" t="s">
        <v>79</v>
      </c>
      <c r="C106" s="27"/>
      <c r="D106" s="27"/>
      <c r="E106" s="27">
        <v>1100</v>
      </c>
      <c r="F106" s="27">
        <v>1</v>
      </c>
      <c r="G106" s="27">
        <v>1</v>
      </c>
      <c r="H106" s="71">
        <f t="shared" si="3"/>
        <v>0</v>
      </c>
    </row>
    <row r="107" spans="1:8" x14ac:dyDescent="0.25">
      <c r="A107" s="26"/>
      <c r="B107" s="27" t="s">
        <v>80</v>
      </c>
      <c r="C107" s="27"/>
      <c r="D107" s="27"/>
      <c r="E107" s="27">
        <v>900</v>
      </c>
      <c r="F107" s="27">
        <v>1</v>
      </c>
      <c r="G107" s="27">
        <v>1</v>
      </c>
      <c r="H107" s="71">
        <f t="shared" si="3"/>
        <v>0</v>
      </c>
    </row>
    <row r="108" spans="1:8" x14ac:dyDescent="0.25">
      <c r="A108" s="26"/>
      <c r="B108" s="27" t="s">
        <v>81</v>
      </c>
      <c r="C108" s="27"/>
      <c r="D108" s="27"/>
      <c r="E108" s="27">
        <v>1400</v>
      </c>
      <c r="F108" s="27">
        <v>1</v>
      </c>
      <c r="G108" s="27">
        <v>1</v>
      </c>
      <c r="H108" s="71">
        <f t="shared" si="3"/>
        <v>0</v>
      </c>
    </row>
    <row r="109" spans="1:8" x14ac:dyDescent="0.25">
      <c r="A109" s="26"/>
      <c r="B109" s="27" t="s">
        <v>82</v>
      </c>
      <c r="C109" s="27"/>
      <c r="D109" s="27"/>
      <c r="E109" s="27">
        <v>194</v>
      </c>
      <c r="F109" s="27">
        <v>24</v>
      </c>
      <c r="G109" s="27">
        <v>7</v>
      </c>
      <c r="H109" s="71">
        <f t="shared" si="3"/>
        <v>0</v>
      </c>
    </row>
    <row r="110" spans="1:8" x14ac:dyDescent="0.25">
      <c r="A110" s="26"/>
      <c r="B110" s="27" t="s">
        <v>83</v>
      </c>
      <c r="C110" s="27"/>
      <c r="D110" s="27"/>
      <c r="E110" s="27">
        <v>131</v>
      </c>
      <c r="F110" s="27">
        <v>24</v>
      </c>
      <c r="G110" s="27">
        <v>7</v>
      </c>
      <c r="H110" s="71">
        <f t="shared" si="3"/>
        <v>0</v>
      </c>
    </row>
    <row r="111" spans="1:8" x14ac:dyDescent="0.25">
      <c r="A111" s="26"/>
      <c r="B111" s="27" t="s">
        <v>84</v>
      </c>
      <c r="C111" s="27"/>
      <c r="D111" s="27"/>
      <c r="E111" s="27">
        <v>126</v>
      </c>
      <c r="F111" s="27">
        <v>24</v>
      </c>
      <c r="G111" s="27">
        <v>7</v>
      </c>
      <c r="H111" s="71">
        <f t="shared" si="3"/>
        <v>0</v>
      </c>
    </row>
    <row r="112" spans="1:8" x14ac:dyDescent="0.25">
      <c r="A112" s="26"/>
      <c r="B112" s="27" t="s">
        <v>85</v>
      </c>
      <c r="C112" s="27"/>
      <c r="D112" s="27"/>
      <c r="E112" s="27">
        <v>97</v>
      </c>
      <c r="F112" s="27">
        <v>24</v>
      </c>
      <c r="G112" s="27">
        <v>7</v>
      </c>
      <c r="H112" s="71">
        <f t="shared" si="3"/>
        <v>0</v>
      </c>
    </row>
    <row r="113" spans="1:8" x14ac:dyDescent="0.25">
      <c r="A113" s="26"/>
      <c r="B113" s="27" t="s">
        <v>86</v>
      </c>
      <c r="C113" s="27"/>
      <c r="D113" s="27"/>
      <c r="E113" s="27">
        <v>68</v>
      </c>
      <c r="F113" s="27">
        <v>24</v>
      </c>
      <c r="G113" s="27">
        <v>7</v>
      </c>
      <c r="H113" s="71">
        <f t="shared" si="3"/>
        <v>0</v>
      </c>
    </row>
    <row r="114" spans="1:8" x14ac:dyDescent="0.25">
      <c r="A114" s="26"/>
      <c r="B114" s="27" t="s">
        <v>87</v>
      </c>
      <c r="C114" s="27"/>
      <c r="D114" s="27"/>
      <c r="E114" s="27">
        <v>63</v>
      </c>
      <c r="F114" s="27">
        <v>24</v>
      </c>
      <c r="G114" s="27">
        <v>7</v>
      </c>
      <c r="H114" s="71">
        <f t="shared" si="3"/>
        <v>0</v>
      </c>
    </row>
    <row r="115" spans="1:8" x14ac:dyDescent="0.25">
      <c r="A115" s="26"/>
      <c r="B115" s="27" t="s">
        <v>88</v>
      </c>
      <c r="C115" s="27"/>
      <c r="D115" s="27"/>
      <c r="E115" s="27">
        <v>60</v>
      </c>
      <c r="F115" s="27">
        <v>24</v>
      </c>
      <c r="G115" s="27">
        <v>7</v>
      </c>
      <c r="H115" s="71">
        <f t="shared" si="3"/>
        <v>0</v>
      </c>
    </row>
    <row r="116" spans="1:8" x14ac:dyDescent="0.25">
      <c r="A116" s="26"/>
      <c r="B116" s="27" t="s">
        <v>89</v>
      </c>
      <c r="C116" s="27"/>
      <c r="D116" s="27"/>
      <c r="E116" s="27">
        <v>57</v>
      </c>
      <c r="F116" s="27">
        <v>24</v>
      </c>
      <c r="G116" s="27">
        <v>7</v>
      </c>
      <c r="H116" s="71">
        <f t="shared" si="3"/>
        <v>0</v>
      </c>
    </row>
    <row r="117" spans="1:8" x14ac:dyDescent="0.25">
      <c r="A117" s="26"/>
      <c r="B117" s="27" t="s">
        <v>661</v>
      </c>
      <c r="C117" s="27"/>
      <c r="D117" s="27"/>
      <c r="E117" s="27">
        <v>40</v>
      </c>
      <c r="F117" s="27">
        <v>24</v>
      </c>
      <c r="G117" s="27">
        <v>7</v>
      </c>
      <c r="H117" s="71">
        <f>A117*E117*F117*G117/7</f>
        <v>0</v>
      </c>
    </row>
    <row r="118" spans="1:8" x14ac:dyDescent="0.25">
      <c r="A118" s="26"/>
      <c r="B118" s="27"/>
      <c r="C118" s="27"/>
      <c r="D118" s="27"/>
      <c r="E118" s="27"/>
      <c r="F118" s="27"/>
      <c r="G118" s="27"/>
      <c r="H118" s="10">
        <f t="shared" si="3"/>
        <v>0</v>
      </c>
    </row>
    <row r="119" spans="1:8" x14ac:dyDescent="0.25">
      <c r="A119" s="26"/>
      <c r="B119" s="27"/>
      <c r="C119" s="27"/>
      <c r="D119" s="27"/>
      <c r="E119" s="27"/>
      <c r="F119" s="27"/>
      <c r="G119" s="27"/>
      <c r="H119" s="10">
        <f t="shared" si="3"/>
        <v>0</v>
      </c>
    </row>
    <row r="120" spans="1:8" x14ac:dyDescent="0.25">
      <c r="A120" s="72"/>
      <c r="B120" s="73" t="s">
        <v>9</v>
      </c>
      <c r="C120" s="73"/>
      <c r="D120" s="73"/>
      <c r="E120" s="73"/>
      <c r="F120" s="73"/>
      <c r="G120" s="73"/>
      <c r="H120" s="74">
        <f>SUM(H2:H119)</f>
        <v>420.44857142857137</v>
      </c>
    </row>
    <row r="121" spans="1:8" x14ac:dyDescent="0.25">
      <c r="A121" s="72"/>
      <c r="B121" s="75" t="s">
        <v>10</v>
      </c>
      <c r="C121" s="73" t="s">
        <v>11</v>
      </c>
      <c r="D121" s="73"/>
      <c r="E121" s="73"/>
      <c r="F121" s="73"/>
      <c r="G121" s="73"/>
      <c r="H121" s="76">
        <f>H120/12</f>
        <v>35.03738095238095</v>
      </c>
    </row>
  </sheetData>
  <sheetProtection algorithmName="SHA-512" hashValue="YOX9UK8u5gXbZd7ip5zfLCauqum9rLLKtVnO9PvXYwS9TLohqc23XjlLXii5aJ8nUsVbXI90+5VH+PlSI8yTgw==" saltValue="yrXbCX2PPNXprtYn27L+rg==" spinCount="100000" sheet="1" objects="1" scenarios="1"/>
  <mergeCells count="1">
    <mergeCell ref="I1:I39"/>
  </mergeCells>
  <conditionalFormatting sqref="A2:H2 A7:H7 A14:H121">
    <cfRule type="expression" dxfId="81" priority="4">
      <formula>MOD(ROW(),2)-1</formula>
    </cfRule>
  </conditionalFormatting>
  <conditionalFormatting sqref="A3:H6">
    <cfRule type="expression" dxfId="80" priority="3">
      <formula>MOD(ROW(),2)-1</formula>
    </cfRule>
  </conditionalFormatting>
  <conditionalFormatting sqref="A9:H13">
    <cfRule type="expression" dxfId="79" priority="2">
      <formula>MOD(ROW(),2)-1</formula>
    </cfRule>
  </conditionalFormatting>
  <conditionalFormatting sqref="A8:H8">
    <cfRule type="expression" dxfId="78" priority="1">
      <formula>MOD(ROW(),2)-1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24"/>
  <sheetViews>
    <sheetView zoomScaleNormal="100" workbookViewId="0">
      <selection activeCell="B3" sqref="B3"/>
    </sheetView>
  </sheetViews>
  <sheetFormatPr defaultRowHeight="15" x14ac:dyDescent="0.25"/>
  <cols>
    <col min="1" max="1" width="5.42578125" customWidth="1"/>
    <col min="2" max="2" width="59.28515625" customWidth="1"/>
    <col min="3" max="4" width="11.140625" customWidth="1"/>
    <col min="5" max="5" width="176.5703125" customWidth="1"/>
  </cols>
  <sheetData>
    <row r="1" spans="1:5" s="54" customFormat="1" ht="66.75" customHeight="1" x14ac:dyDescent="0.25">
      <c r="B1" s="55">
        <v>3</v>
      </c>
      <c r="C1" s="54">
        <v>2</v>
      </c>
      <c r="D1" s="54" t="s">
        <v>354</v>
      </c>
    </row>
    <row r="2" spans="1:5" s="54" customFormat="1" ht="46.5" customHeight="1" x14ac:dyDescent="0.25">
      <c r="B2" s="56">
        <v>2</v>
      </c>
      <c r="C2" s="54">
        <v>2</v>
      </c>
    </row>
    <row r="4" spans="1:5" s="33" customFormat="1" ht="21.75" customHeight="1" x14ac:dyDescent="0.25">
      <c r="A4" s="52" t="str">
        <f>IF($C$2=1,"Lead Acid Battery Option","LiFePO4 Battery Option")</f>
        <v>LiFePO4 Battery Option</v>
      </c>
      <c r="B4" s="52"/>
      <c r="C4" s="52"/>
      <c r="D4" s="52"/>
      <c r="E4" s="32"/>
    </row>
    <row r="5" spans="1:5" ht="26.25" customHeight="1" x14ac:dyDescent="0.25">
      <c r="A5" s="19" t="s">
        <v>26</v>
      </c>
      <c r="B5" s="19" t="s">
        <v>93</v>
      </c>
      <c r="C5" s="19" t="s">
        <v>94</v>
      </c>
      <c r="D5" s="19" t="s">
        <v>95</v>
      </c>
      <c r="E5" s="19" t="s">
        <v>96</v>
      </c>
    </row>
    <row r="6" spans="1:5" x14ac:dyDescent="0.25">
      <c r="A6" s="31">
        <f>IF(Sizing!$H$3&lt;=100,
1,
IF(Sizing!$H$3&lt;=200,
2,IF(Sizing!$H$3&lt;=250,
1,
IF(Sizing!$H$3&lt;=500,
2,
ROUND(Sizing!$H$3/320,0)))))</f>
        <v>2</v>
      </c>
      <c r="B6" s="11" t="str">
        <f>IF(Sizing!$H$3&lt;=50,
   VLOOKUP("PV50",Components!$A$2:$F$119,2,FALSE),
   IF(Sizing!$H$3&lt;=200,
   VLOOKUP("PV100",Components!$A$2:$F$119,2,FALSE),
   IF(Sizing!$H$3&lt;=500,
   VLOOKUP("PV250",Components!$A$2:$F$119,2,FALSE),
   VLOOKUP("PV320",Components!$A$2:$F$119,2,FALSE))))</f>
        <v>Amerisolar 250w 24v PV panel</v>
      </c>
      <c r="C6" s="13">
        <f>IF(Sizing!$H$3&lt;=50,
   VLOOKUP("PV50",Components!$A$2:$F$119,3,FALSE),
   IF(Sizing!$H$3&lt;=200,
   VLOOKUP("PV100",Components!$A$2:$F$119,3,FALSE),
   IF(Sizing!$H$3&lt;=500,
   VLOOKUP("PV250",Components!$A$2:$F$119,3,FALSE),
   VLOOKUP("PV320",Components!$A$2:$F$119,3,FALSE))))</f>
        <v>170</v>
      </c>
      <c r="D6" s="13">
        <f t="shared" ref="D6:D14" si="0">A6*C6</f>
        <v>340</v>
      </c>
      <c r="E6" s="11" t="str">
        <f>IF(Sizing!$H$3&lt;=50,
   VLOOKUP("PV50",Components!$A$2:$F$119,6,FALSE),
   IF(Sizing!$H$3&lt;=200,
   VLOOKUP("PV100",Components!$A$2:$F$119,6,FALSE),
   IF(Sizing!$H$3&lt;=500,
   VLOOKUP("PV250",Components!$A$2:$F$119,6,FALSE),
   VLOOKUP("PV320",Components!$A$2:$F$119,6,FALSE))))</f>
        <v>https://www.solarblvd.com/products/amerisolar-as-6p30-250-24v-250-watt-solar-panel-2/</v>
      </c>
    </row>
    <row r="7" spans="1:5" x14ac:dyDescent="0.25">
      <c r="A7" s="31">
        <f>IF(Sizing!$H$3&lt;=150,1,IF(Sizing!$H$3&lt;=200,1,IF(Sizing!$H$3&lt;=500,1,IF(A6*9&lt;80,1,ROUND((A6*9)/80,0)))))</f>
        <v>1</v>
      </c>
      <c r="B7" s="11" t="str">
        <f>IF($C$2=1,
    IF(Sizing!$H$3&lt;=50,
    VLOOKUP("CCLA05",Components!$A$2:$F$119,2,FALSE),
    IF(Sizing!$H$3&lt;=100,
    VLOOKUP("CCLA10",Components!$A$2:$F$119,2,FALSE),
    IF(Sizing!$H$3&lt;=200,
    VLOOKUP("CC15",Components!$A$2:$F$119,2,FALSE),
    IF(Sizing!$H$3&lt;=500,
    VLOOKUP("CC30",Components!$A$2:$F$119,2,FALSE),
    VLOOKUP("CC60",Components!$A$2:$F$119,2,FALSE))))),
    IF(Sizing!$H$3&lt;=50,
    VLOOKUP("CCLI05",Components!$A$2:$F$119,2,FALSE),
    IF(Sizing!$H$3&lt;=100,
    VLOOKUP("CCLI10",Components!$A$2:$F$119,2,FALSE),
    IF(Sizing!$H$3&lt;=200,
    VLOOKUP("CC15",Components!$A$2:$F$119,2,FALSE),
    IF(Sizing!$H$3&lt;=500,
    VLOOKUP("CC30",Components!$A$2:$F$119,2,FALSE),
    VLOOKUP("CC60",Components!$A$2:$F$119,2,FALSE))))))</f>
        <v>Victron Energy BlueSolar 100/30 30amp MPPT Charge Controller</v>
      </c>
      <c r="C7" s="13">
        <f>IF($C$2=1,
    IF(Sizing!$H$3&lt;=50,
    VLOOKUP("CCLA05",Components!$A$2:$F$119,3,FALSE),
    IF(Sizing!$H$3&lt;=100,
    VLOOKUP("CCLA10",Components!$A$2:$F$119,3,FALSE),
    IF(Sizing!$H$3&lt;=200,
    VLOOKUP("CC15",Components!$A$2:$F$119,3,FALSE),
    IF(Sizing!$H$3&lt;=500,
    VLOOKUP("CC30",Components!$A$2:$F$119,3,FALSE),
    VLOOKUP("CC60",Components!$A$2:$F$119,3,FALSE))))),
    IF(Sizing!$H$3&lt;=50,
    VLOOKUP("CCLI05",Components!$A$2:$F$119,3,FALSE),
    IF(Sizing!$H$3&lt;=100,
    VLOOKUP("CCLI10",Components!$A$2:$F$119,3,FALSE),
    IF(Sizing!$H$3&lt;=200,
    VLOOKUP("CC15",Components!$A$2:$F$119,3,FALSE),
    IF(Sizing!$H$3&lt;=500,
    VLOOKUP("CC30",Components!$A$2:$F$119,3,FALSE),
    VLOOKUP("CC60",Components!$A$2:$F$119,3,FALSE))))))</f>
        <v>202</v>
      </c>
      <c r="D7" s="13">
        <f t="shared" si="0"/>
        <v>202</v>
      </c>
      <c r="E7" s="11" t="str">
        <f>IF($C$2=1,
    IF(Sizing!$H$3&lt;=50,
    VLOOKUP("CCLA05",Components!$A$2:$F$119,6,FALSE),
    IF(Sizing!$H$3&lt;=100,
    VLOOKUP("CCLA10",Components!$A$2:$F$119,6,FALSE),
    IF(Sizing!$H$3&lt;=200,
    VLOOKUP("CC15",Components!$A$2:$F$119,6,FALSE),
    IF(Sizing!$H$3&lt;=500,
    VLOOKUP("CC30",Components!$A$2:$F$119,6,FALSE),
    VLOOKUP("CC60",Components!$A$2:$F$119,6,FALSE))))),
    IF(Sizing!$H$3&lt;=50,
    VLOOKUP("CCLI05",Components!$A$2:$F$119,6,FALSE),
    IF(Sizing!$H$3&lt;=100,
    VLOOKUP("CCLI10",Components!$A$2:$F$119,6,FALSE),
    IF(Sizing!$H$3&lt;=200,
    VLOOKUP("CC15",Components!$A$2:$F$119,6,FALSE),
    IF(Sizing!$H$3&lt;=500,
    VLOOKUP("CC30",Components!$A$2:$F$119,6,FALSE),
    VLOOKUP("CC60",Components!$A$2:$F$119,6,FALSE))))))</f>
        <v>https://www.amazon.com/Victron-BlueSolar-MPPT-Charge-Controller/dp/B011KHV1RM</v>
      </c>
    </row>
    <row r="8" spans="1:5" ht="16.5" customHeight="1" x14ac:dyDescent="0.25">
      <c r="A8" s="35">
        <f>IF($C$2=1,
ROUND(IF(Sizing!$I$8&lt;=225,1,Sizing!$I$8 / 225),0),
ROUND(IF(Sizing!$I$9&lt;=300,1,Sizing!$I$9 / 300),0))</f>
        <v>1</v>
      </c>
      <c r="B8" s="11" t="str">
        <f>IF($C$1=1,
IF($C$2=1,
IF(Sizing!$I$8&lt;=10,
VLOOKUP("AGM10",Components!$A$2:$F$119,2,FALSE),
IF(Sizing!$I$8&lt;=20,
VLOOKUP("AGM20",Components!$A$2:$F$119,2,FALSE),
IF(Sizing!$I$8&lt;=35,
VLOOKUP("AGM35",Components!$A$2:$F$119,2,FALSE),
IF(Sizing!$I$8&lt;=55,
VLOOKUP("AGM55",Components!$A$2:$F$119,2,FALSE),
IF(Sizing!$I$8&lt;=80,
VLOOKUP("AGM80",Components!$A$2:$F$119,2,FALSE),
IF(Sizing!$I$8&lt;=100,
VLOOKUP("AGM100",Components!$A$2:$F$119,2,FALSE),
IF(Sizing!$I$8&lt;=140,
VLOOKUP("AGM140",Components!$A$2:$F$119,2,FALSE),
IF(Sizing!$I$8&lt;=225,
VLOOKUP("AGM225",Components!$A$2:$F$119,2,FALSE),VLOOKUP("AGM225",Components!$A$2:$F$119,2,FALSE))
))))))),
IF(Sizing!$I$9&lt;=8,
VLOOKUP("LFP08",Components!$A$2:$F$119,2,FALSE),
IF(Sizing!$I$9&lt;=10,
VLOOKUP("LFP10",Components!$A$2:$F$119,2,FALSE),
IF(Sizing!$I$9&lt;=20,
VLOOKUP("LFP20",Components!$A$2:$F$119,2,FALSE),
IF(Sizing!$I$9&lt;=30,
VLOOKUP("LFP30",Components!$A$2:$F$119,2,FALSE),
IF(Sizing!$I$9&lt;=40,
VLOOKUP("LFP40",Components!$A$2:$F$119,2,FALSE),
IF(Sizing!$I$9&lt;=50,
VLOOKUP("LFP50",Components!$A$2:$F$119,2,FALSE),
IF(Sizing!$I$9&lt;=60,
VLOOKUP("LFP60",Components!$A$2:$F$119,2,FALSE),
IF(Sizing!$I$9&lt;=80,
VLOOKUP("LFP80",Components!$A$2:$F$119,2,FALSE),
IF(Sizing!$I$9&lt;=100,
VLOOKUP("LFP100",Components!$A$2:$F$119,2,FALSE),
IF(Sizing!$I$9&lt;=150,
VLOOKUP("LFP150",Components!$A$2:$F$119,2,FALSE),
IF(Sizing!$I$9&lt;=200,
VLOOKUP("LFP200",Components!$A$2:$F$119,2,FALSE),
IF(Sizing!$I$9&lt;=300,
VLOOKUP("LFP300",Components!$A$2:$F$119,2,FALSE),VLOOKUP("LFP300",Components!$A$2:$F$119,2,FALSE))
)))))))))))),
IF($C$2=1,
IF(Sizing!$H$8&lt;=10,
VLOOKUP("AGM10",Components!$A$2:$F$119,2,FALSE),
IF(Sizing!$H$8&lt;=20,
VLOOKUP("AGM20",Components!$A$2:$F$119,2,FALSE),
IF(Sizing!$H$8&lt;=35,
VLOOKUP("AGM35",Components!$A$2:$F$119,2,FALSE),
IF(Sizing!$H$8&lt;=55,
VLOOKUP("AGM55",Components!$A$2:$F$119,2,FALSE),
IF(Sizing!$H$8&lt;=80,
VLOOKUP("AGM80",Components!$A$2:$F$119,2,FALSE),
IF(Sizing!$H$8&lt;=100,
VLOOKUP("AGM100",Components!$A$2:$F$119,2,FALSE),
IF(Sizing!$H$8&lt;=140,
VLOOKUP("AGM140",Components!$A$2:$F$119,2,FALSE),
IF(Sizing!$H$8&lt;=225,
VLOOKUP("AGM225",Components!$A$2:$F$119,2,FALSE),VLOOKUP("AGM225",Components!$A$2:$F$119,2,FALSE))
))))))),
IF(Sizing!$H$9&lt;=8,
VLOOKUP("LFP08",Components!$A$2:$F$119,2,FALSE),
IF(Sizing!$H$9&lt;=10,
VLOOKUP("LFP10",Components!$A$2:$F$119,2,FALSE),
IF(Sizing!$H$9&lt;=20,
VLOOKUP("LFP20",Components!$A$2:$F$119,2,FALSE),
IF(Sizing!$H$9&lt;=30,
VLOOKUP("LFP30",Components!$A$2:$F$119,2,FALSE),
IF(Sizing!$H$9&lt;=40,
VLOOKUP("LFP40",Components!$A$2:$F$119,2,FALSE),
IF(Sizing!$H$9&lt;=50,
VLOOKUP("LFP50",Components!$A$2:$F$119,2,FALSE),
IF(Sizing!$H$9&lt;=60,
VLOOKUP("LFP60",Components!$A$2:$F$119,2,FALSE),
IF(Sizing!$H$9&lt;=80,
VLOOKUP("LFP80",Components!$A$2:$F$119,2,FALSE),
IF(Sizing!$H$9&lt;=100,
VLOOKUP("LFP100",Components!$A$2:$F$119,2,FALSE),
IF(Sizing!$H$9&lt;=150,
VLOOKUP("LFP150",Components!$A$2:$F$119,2,FALSE),
IF(Sizing!$H$9&lt;=200,
VLOOKUP("LFP200",Components!$A$2:$F$119,2,FALSE),
IF(Sizing!$H$9&lt;=300,
VLOOKUP("LFP300",Components!$A$2:$F$119,2,FALSE),VLOOKUP("LFP300",Components!$A$2:$F$119,2,FALSE))
)))))))))))))</f>
        <v>150Ah Bioenno LiFePO4 battery</v>
      </c>
      <c r="C8" s="13">
        <f>IF($C$1=1,
IF($C$2=1,
IF(Sizing!$I$8&lt;=10,
VLOOKUP("AGM10",Components!$A$2:$F$119,3,FALSE),
IF(Sizing!$I$8&lt;=20,
VLOOKUP("AGM20",Components!$A$2:$F$119,3,FALSE),
IF(Sizing!$I$8&lt;=35,
VLOOKUP("AGM35",Components!$A$2:$F$119,3,FALSE),
IF(Sizing!$I$8&lt;=55,
VLOOKUP("AGM55",Components!$A$2:$F$119,3,FALSE),
IF(Sizing!$I$8&lt;=80,
VLOOKUP("AGM80",Components!$A$2:$F$119,3,FALSE),
IF(Sizing!$I$8&lt;=100,
VLOOKUP("AGM100",Components!$A$2:$F$119,3,FALSE),
IF(Sizing!$I$8&lt;=140,
VLOOKUP("AGM140",Components!$A$2:$F$119,3,FALSE),
IF(Sizing!$I$8&lt;=225,
VLOOKUP("AGM225",Components!$A$2:$F$119,3,FALSE),VLOOKUP("AGM225",Components!$A$2:$F$119,3,FALSE))
))))))),
IF(Sizing!$I$9&lt;=8,
VLOOKUP("LFP08",Components!$A$2:$F$119,3,FALSE),
IF(Sizing!$I$9&lt;=10,
VLOOKUP("LFP10",Components!$A$2:$F$119,3,FALSE),
IF(Sizing!$I$9&lt;=20,
VLOOKUP("LFP20",Components!$A$2:$F$119,3,FALSE),
IF(Sizing!$I$9&lt;=30,
VLOOKUP("LFP30",Components!$A$2:$F$119,3,FALSE),
IF(Sizing!$I$9&lt;=40,
VLOOKUP("LFP40",Components!$A$2:$F$119,3,FALSE),
IF(Sizing!$I$9&lt;=50,
VLOOKUP("LFP50",Components!$A$2:$F$119,3,FALSE),
IF(Sizing!$I$9&lt;=60,
VLOOKUP("LFP60",Components!$A$2:$F$119,3,FALSE),
IF(Sizing!$I$9&lt;=80,
VLOOKUP("LFP80",Components!$A$2:$F$119,3,FALSE),
IF(Sizing!$I$9&lt;=100,
VLOOKUP("LFP100",Components!$A$2:$F$119,3,FALSE),
IF(Sizing!$I$9&lt;=150,
VLOOKUP("LFP150",Components!$A$2:$F$119,3,FALSE),
IF(Sizing!$I$9&lt;=200,
VLOOKUP("LFP200",Components!$A$2:$F$119,3,FALSE),
IF(Sizing!$I$9&lt;=300,
VLOOKUP("LFP300",Components!$A$2:$F$119,3,FALSE),VLOOKUP("LFP300",Components!$A$2:$F$119,3,FALSE)))))))))))))),
IF($C$2=1,
IF(Sizing!$H$8&lt;=10,
VLOOKUP("AGM10",Components!$A$2:$F$119,3,FALSE),
IF(Sizing!$H$8&lt;=20,
VLOOKUP("AGM20",Components!$A$2:$F$119,3,FALSE),
IF(Sizing!$H$8&lt;=35,
VLOOKUP("AGM35",Components!$A$2:$F$119,3,FALSE),
IF(Sizing!$H$8&lt;=55,
VLOOKUP("AGM55",Components!$A$2:$F$119,3,FALSE),
IF(Sizing!$H$8&lt;=80,
VLOOKUP("AGM80",Components!$A$2:$F$119,3,FALSE),
IF(Sizing!$H$8&lt;=100,
VLOOKUP("AGM100",Components!$A$2:$F$119,3,FALSE),
IF(Sizing!$H$8&lt;=140,
VLOOKUP("AGM140",Components!$A$2:$F$119,3,FALSE),
IF(Sizing!$H$8&lt;=225,
VLOOKUP("AGM225",Components!$A$2:$F$119,3,FALSE),VLOOKUP("AGM225",Components!$A$2:$F$119,3,FALSE))
))))))),
IF(Sizing!$H$9&lt;=8,
VLOOKUP("LFP08",Components!$A$2:$F$119,3,FALSE),
IF(Sizing!$H$9&lt;=10,
VLOOKUP("LFP10",Components!$A$2:$F$119,3,FALSE),
IF(Sizing!$H$9&lt;=20,
VLOOKUP("LFP20",Components!$A$2:$F$119,3,FALSE),
IF(Sizing!$H$9&lt;=30,
VLOOKUP("LFP30",Components!$A$2:$F$119,3,FALSE),
IF(Sizing!$H$9&lt;=40,
VLOOKUP("LFP40",Components!$A$2:$F$119,3,FALSE),
IF(Sizing!$H$9&lt;=50,
VLOOKUP("LFP50",Components!$A$2:$F$119,3,FALSE),
IF(Sizing!$H$9&lt;=60,
VLOOKUP("LFP60",Components!$A$2:$F$119,3,FALSE),
IF(Sizing!$H$9&lt;=80,
VLOOKUP("LFP80",Components!$A$2:$F$119,3,FALSE),
IF(Sizing!$H$9&lt;=100,
VLOOKUP("LFP100",Components!$A$2:$F$119,3,FALSE),
IF(Sizing!$H$9&lt;=150,
VLOOKUP("LFP150",Components!$A$2:$F$119,3,FALSE),
IF(Sizing!$H$9&lt;=200,
VLOOKUP("LFP200",Components!$A$2:$F$119,3,FALSE),
IF(Sizing!$H$9&lt;=300,
VLOOKUP("LFP300",Components!$A$2:$F$119,3,FALSE),VLOOKUP("LFP300",Components!$A$2:$F$119,3,FALSE)))))))))))))))</f>
        <v>1300</v>
      </c>
      <c r="D8" s="13">
        <f t="shared" si="0"/>
        <v>1300</v>
      </c>
      <c r="E8" s="11" t="str">
        <f>IF($C$1=1,
IF($C$2=1,
IF(Sizing!$I$8&lt;=10,
VLOOKUP("AGM10",Components!$A$2:$F$119,6,FALSE),
IF(Sizing!$I$8&lt;=20,
VLOOKUP("AGM20",Components!$A$2:$F$119,6,FALSE),
IF(Sizing!$I$8&lt;=35,
VLOOKUP("AGM35",Components!$A$2:$F$119,6,FALSE),
IF(Sizing!$I$8&lt;=55,
VLOOKUP("AGM55",Components!$A$2:$F$119,6,FALSE),
IF(Sizing!$I$8&lt;=80,
VLOOKUP("AGM80",Components!$A$2:$F$119,6,FALSE),
IF(Sizing!$I$8&lt;=100,
VLOOKUP("AGM100",Components!$A$2:$F$119,6,FALSE),
IF(Sizing!$I$8&lt;=140,
VLOOKUP("AGM140",Components!$A$2:$F$119,6,FALSE),
IF(Sizing!$I$8&lt;=225,
VLOOKUP("AGM225",Components!$A$2:$F$119,6,FALSE),VLOOKUP("AGM225",Components!$A$2:$F$119,6,FALSE))
))))))),
IF(Sizing!$I$9&lt;=8,
VLOOKUP("LFP08",Components!$A$2:$F$118,6,FALSE),
IF(Sizing!$I$9&lt;=10,
VLOOKUP("LFP10",Components!$A$2:$F$118,6,FALSE),
IF(Sizing!$I$9&lt;=20,
VLOOKUP("LFP20",Components!$A$2:$F$118,6,FALSE),
IF(Sizing!$I$9&lt;=30,
VLOOKUP("LFP30",Components!$A$2:$F$118,6,FALSE),
IF(Sizing!$I$9&lt;=40,
VLOOKUP("LFP40",Components!$A$2:$F$118,6,FALSE),
IF(Sizing!$I$9&lt;=50,
VLOOKUP("LFP50",Components!$A$2:$F$118,6,FALSE),
IF(Sizing!$I$9&lt;=60,
VLOOKUP("LFP60",Components!$A$2:$F$118,6,FALSE),
IF(Sizing!$I$9&lt;=80,
VLOOKUP("LFP80",Components!$A$2:$F$118,6,FALSE),
IF(Sizing!$I$9&lt;=100,
VLOOKUP("LFP100",Components!$A$2:$F$118,6,FALSE),
IF(Sizing!$I$9&lt;=150,
VLOOKUP("LFP150",Components!$A$2:$F$118,6,FALSE),
IF(Sizing!$I$9&lt;=200,
VLOOKUP("LFP200",Components!$A$2:$F$118,6,FALSE),
IF(Sizing!$I$9&lt;=300,
VLOOKUP("LFP300",Components!$A$2:$F$118,6,FALSE),VLOOKUP("LFP300",Components!$A$1:$F$118,6,FALSE)))))))))))))),
IF($C$2=1,
IF(Sizing!$H$8&lt;=10,
VLOOKUP("AGM10",Components!$A$2:$F$119,6,FALSE),
IF(Sizing!$H$8&lt;=20,
VLOOKUP("AGM20",Components!$A$2:$F$119,6,FALSE),
IF(Sizing!$H$8&lt;=35,
VLOOKUP("AGM35",Components!$A$2:$F$119,6,FALSE),
IF(Sizing!$H$8&lt;=55,
VLOOKUP("AGM55",Components!$A$2:$F$119,6,FALSE),
IF(Sizing!$H$8&lt;=80,
VLOOKUP("AGM80",Components!$A$2:$F$119,6,FALSE),
IF(Sizing!$H$8&lt;=100,
VLOOKUP("AGM100",Components!$A$2:$F$119,6,FALSE),
IF(Sizing!$H$8&lt;=140,
VLOOKUP("AGM140",Components!$A$2:$F$119,6,FALSE),
IF(Sizing!$H$8&lt;=225,
VLOOKUP("AGM225",Components!$A$2:$F$119,6,FALSE),VLOOKUP("AGM225",Components!$A$2:$F$119,6,FALSE))
))))))),
IF(Sizing!$H$9&lt;=8,
VLOOKUP("LFP08",Components!$A$2:$F$118,6,FALSE),
IF(Sizing!$H$9&lt;=10,
VLOOKUP("LFP10",Components!$A$2:$F$118,6,FALSE),
IF(Sizing!$H$9&lt;=20,
VLOOKUP("LFP20",Components!$A$2:$F$118,6,FALSE),
IF(Sizing!$H$9&lt;=30,
VLOOKUP("LFP30",Components!$A$2:$F$118,6,FALSE),
IF(Sizing!$H$9&lt;=40,
VLOOKUP("LFP40",Components!$A$2:$F$118,6,FALSE),
IF(Sizing!$H$9&lt;=50,
VLOOKUP("LFP50",Components!$A$2:$F$118,6,FALSE),
IF(Sizing!$H$9&lt;=60,
VLOOKUP("LFP60",Components!$A$2:$F$118,6,FALSE),
IF(Sizing!$H$9&lt;=80,
VLOOKUP("LFP80",Components!$A$2:$F$118,6,FALSE),
IF(Sizing!$H$9&lt;=100,
VLOOKUP("LFP100",Components!$A$2:$F$118,6,FALSE),
IF(Sizing!$H$9&lt;=150,
VLOOKUP("LFP150",Components!$A$2:$F$118,6,FALSE),
IF(Sizing!$H$9&lt;=200,
VLOOKUP("LFP200",Components!$A$2:$F$118,6,FALSE),
IF(Sizing!$H$9&lt;=300,
VLOOKUP("LFP300",Components!$A$2:$F$118,6,FALSE),VLOOKUP("LFP300",Components!$A$1:$F$118,6,FALSE))))))))))))))
)</f>
        <v>http://www.hamradio.com/detail.cfm?pid=H0-015755</v>
      </c>
    </row>
    <row r="9" spans="1:5" x14ac:dyDescent="0.25">
      <c r="A9" s="31">
        <f>IF($A$6=1,0,IF(Sizing!$H$3&lt;=200,1,IF(Sizing!$H$3&lt;=500,1,IF(A6&lt;=12,1,IF(A6&lt;=24,2,IF(A6&lt;=36,3,IF(A6&lt;=48,4,IF(A6&lt;=60,5,IF(A6&lt;=72,6,IF(A6&lt;=84,7))))))))))</f>
        <v>1</v>
      </c>
      <c r="B9" s="12" t="str">
        <f>IF($A$6=1,"",IF($A$6&gt;2,IF($A$6&lt;=6,VLOOKUP("CB06",Components!$A$1:$F$118,2,FALSE),VLOOKUP("CB12",Components!$A$1:$F$118,2,FALSE)),VLOOKUP("YC01",Components!$A$2:$F$112,2,FALSE)))</f>
        <v>Y branch MC4 Parallel connector</v>
      </c>
      <c r="C9" s="14">
        <f>IF($A$6=1,0,IF($A$6&gt;2,IF($A$6&lt;=6,VLOOKUP("CB06",Components!$A$1:$F$118,3,FALSE),VLOOKUP("CB12",Components!$A$1:$F$118,3,FALSE)),VLOOKUP("YC01",Components!$A$2:$F$112,3,FALSE)))</f>
        <v>8</v>
      </c>
      <c r="D9" s="13">
        <f t="shared" si="0"/>
        <v>8</v>
      </c>
      <c r="E9" s="15" t="str">
        <f>IF($A$6=1,"",IF($A$6&gt;2,IF($A$6&lt;=6,VLOOKUP("CB06",Components!$A$1:$F$118,6,FALSE),VLOOKUP("CB12",Components!$A$1:$F$118,6,FALSE)),VLOOKUP("YC01",Components!$A$2:$F$112,6,FALSE)))</f>
        <v>https://www.amazon.com/gp/product/B0090MTCF8</v>
      </c>
    </row>
    <row r="10" spans="1:5" x14ac:dyDescent="0.25">
      <c r="A10" s="31">
        <f>$A$6</f>
        <v>2</v>
      </c>
      <c r="B10" s="11" t="str">
        <f>IF($A$6&lt;=2,
IF(Sizing!$H$3&lt;=50,
VLOOKUP("FU05",Components!$A$2:$F$105,2,FALSE),
IF(Sizing!$H$3&lt;=200,
VLOOKUP("FU10",Components!$A$2:$F$105,2,FALSE),
IF(Sizing!$H$3&lt;=640,
VLOOKUP("FU15",Components!$A$2:$F$105,2,FALSE)))),
IF(A10=0,"",
VLOOKUP("BR01",Components!$A$2:$F$109,2,FALSE)
))</f>
        <v>MC4 connector with inline 15a fuse (PV Panel -&gt; Charge Controller)</v>
      </c>
      <c r="C10" s="13">
        <f>IF($A$6&lt;=2,
IF(Sizing!$H$3&lt;=50,
VLOOKUP("FU05",Components!$A$2:$F$105,3,FALSE),
IF(Sizing!$H$3&lt;=200,
VLOOKUP("FU10",Components!$A$2:$F$105,3,FALSE),
IF(Sizing!$H$3&lt;=640,
VLOOKUP("FU15",Components!$A$2:$F$105,3,FALSE)))),
IF(A10=0,"",
VLOOKUP("BR01",Components!$A$2:$F$109,3,FALSE)
))</f>
        <v>14</v>
      </c>
      <c r="D10" s="13">
        <f t="shared" si="0"/>
        <v>28</v>
      </c>
      <c r="E10" s="11" t="str">
        <f>IF($A$6&lt;=2,
IF(Sizing!$H$3&lt;=50,
VLOOKUP("FU05",Components!$A$2:$F$105,6,FALSE),
IF(Sizing!$H$3&lt;=200,
VLOOKUP("FU10",Components!$A$2:$F$105,6,FALSE),
IF(Sizing!$H$3&lt;=640,
VLOOKUP("FU15",Components!$A$2:$F$105,6,FALSE)))),
IF(A10=0,"",
VLOOKUP("BR01",Components!$A$2:$F$109,6,FALSE)
))</f>
        <v>https://www.amazon.com/gp/product/B019YP0LM8/</v>
      </c>
    </row>
    <row r="11" spans="1:5" x14ac:dyDescent="0.25">
      <c r="A11" s="31">
        <f>$A$7</f>
        <v>1</v>
      </c>
      <c r="B11" s="11" t="str">
        <f>IF(Sizing!$H$3&lt;=50,
    VLOOKUP("FU10B",Components!$A$2:$F$119,2,FALSE),
    IF(Sizing!$H$3&lt;=200,
    VLOOKUP("BR20",Components!$A$2:$F$119,2,FALSE),
    IF(Sizing!$H$3&lt;=500,
    VLOOKUP("BR50",Components!$A$2:$F$119,2,FALSE),
    VLOOKUP("BR100",Components!$A$2:$F$119,2,FALSE))))</f>
        <v>12v Inline 50a breaker (Charge Controller -&gt; Battery)</v>
      </c>
      <c r="C11" s="13">
        <f>IF(Sizing!$H$3&lt;=50,
    VLOOKUP("FU10B",Components!$A$2:$F$119,3,FALSE),
    IF(Sizing!$H$3&lt;=200,
    VLOOKUP("BR20",Components!$A$2:$F$119,3,FALSE),
    IF(Sizing!$H$3&lt;=500,
    VLOOKUP("BR50",Components!$A$2:$F$119,3,FALSE),
    VLOOKUP("BR100",Components!$A$2:$F$119,3,FALSE))))</f>
        <v>14</v>
      </c>
      <c r="D11" s="13">
        <f>A11*C11</f>
        <v>14</v>
      </c>
      <c r="E11" s="27" t="str">
        <f>IF(Sizing!$H$3&lt;=50,
    VLOOKUP("FU10B",Components!$A$2:$F$119,6,FALSE),
    IF(Sizing!$H$3&lt;=200,
    VLOOKUP("BR20",Components!$A$2:$F$119,6,FALSE),
    IF(Sizing!$H$3&lt;=500,
    VLOOKUP("BR50",Components!$A$2:$F$119,6,FALSE),
    VLOOKUP("BR100",Components!$A$2:$F$119,6,FALSE))))</f>
        <v>https://www.amazon.com/MWGears-12V-24V-Protection-Circuit-Breaker/dp/B06Y4BSCY7</v>
      </c>
    </row>
    <row r="12" spans="1:5" x14ac:dyDescent="0.25">
      <c r="A12" s="31">
        <f>$A$6</f>
        <v>2</v>
      </c>
      <c r="B12" s="11" t="s">
        <v>99</v>
      </c>
      <c r="C12" s="13">
        <v>47</v>
      </c>
      <c r="D12" s="13">
        <f t="shared" si="0"/>
        <v>94</v>
      </c>
      <c r="E12" s="16" t="s">
        <v>100</v>
      </c>
    </row>
    <row r="13" spans="1:5" x14ac:dyDescent="0.25">
      <c r="A13" s="31">
        <v>1</v>
      </c>
      <c r="B13" s="11" t="s">
        <v>210</v>
      </c>
      <c r="C13" s="13">
        <v>50</v>
      </c>
      <c r="D13" s="13">
        <f t="shared" si="0"/>
        <v>50</v>
      </c>
      <c r="E13" s="16" t="s">
        <v>211</v>
      </c>
    </row>
    <row r="14" spans="1:5" x14ac:dyDescent="0.25">
      <c r="A14" s="31">
        <f>IF(Sizing!$H$3&lt;=200,$A$6,
   IF($A$6=1,$A$6,
   IF($A$6=2,1,ROUNDUP($A$6 / 2,0))))</f>
        <v>1</v>
      </c>
      <c r="B14" s="11" t="str">
        <f>IF(Sizing!$H$3&lt;=200,
   VLOOKUP("MB01",Components!$A$2:$F$119,2,FALSE),
   IF($A$6=1,
   VLOOKUP("MB02",Components!$A$2:$F$119,2,FALSE),
   VLOOKUP("MB03",Components!$A$2:$F$119,2,FALSE)))</f>
        <v>Adjustable 2 PV Panel Mount</v>
      </c>
      <c r="C14" s="13">
        <f>IF(Sizing!$H$3&lt;=200,
   VLOOKUP("MB01",Components!$A$2:$F$119,3,FALSE),
   IF($A$6=1,
   VLOOKUP("MB02",Components!$A$2:$F$119,3,FALSE),
   VLOOKUP("MB03",Components!$A$2:$F$119,3,FALSE)))</f>
        <v>272</v>
      </c>
      <c r="D14" s="13">
        <f t="shared" si="0"/>
        <v>272</v>
      </c>
      <c r="E14" s="11" t="str">
        <f>IF(Sizing!$H$3&lt;=200,
   VLOOKUP("MB01",Components!$A$2:$F$119,6,FALSE),
   IF($A$6=1,
   VLOOKUP("MB02",Components!$A$2:$F$119,6,FALSE),
   VLOOKUP("MB03",Components!$A$2:$F$119,6,FALSE)))</f>
        <v>https://www.solarblvd.com/products/sunwize-roof-ground-mount-adjustable-80-inch-rail/</v>
      </c>
    </row>
    <row r="15" spans="1:5" x14ac:dyDescent="0.25">
      <c r="A15" s="31">
        <f>$A$8-1</f>
        <v>0</v>
      </c>
      <c r="B15" s="11" t="str">
        <f>IF($A$15&gt;0,VLOOKUP("CBL01",Components!$A$2:$F$100,2,FALSE),"")</f>
        <v/>
      </c>
      <c r="C15" s="13">
        <f>IF($A$15&gt;0,VLOOKUP("CBL01",Components!$A$2:$F$100,3,FALSE),0)</f>
        <v>0</v>
      </c>
      <c r="D15" s="13">
        <f>A15*C15</f>
        <v>0</v>
      </c>
      <c r="E15" s="11" t="str">
        <f>IF($A$15&gt;0,VLOOKUP("CBL01",Components!$A$2:$F$100,6,FALSE),"")</f>
        <v/>
      </c>
    </row>
    <row r="16" spans="1:5" x14ac:dyDescent="0.25">
      <c r="A16" s="31">
        <f>$A$8-1</f>
        <v>0</v>
      </c>
      <c r="B16" s="11" t="str">
        <f>IF($A$16&gt;0,VLOOKUP("CBL02",Components!$A$2:$F$100,2,FALSE),"")</f>
        <v/>
      </c>
      <c r="C16" s="13">
        <f>IF($A$16&gt;0,VLOOKUP("CBL02",Components!$A$2:$F$100,3,FALSE),0)</f>
        <v>0</v>
      </c>
      <c r="D16" s="13">
        <f>A16*C16</f>
        <v>0</v>
      </c>
      <c r="E16" s="11" t="str">
        <f>IF($A$16&gt;0,VLOOKUP("CBL02",Components!$A$2:$F$100,6,FALSE),"")</f>
        <v/>
      </c>
    </row>
    <row r="17" spans="1:5" x14ac:dyDescent="0.25">
      <c r="A17" s="11"/>
      <c r="B17" s="42" t="s">
        <v>9</v>
      </c>
      <c r="C17" s="11"/>
      <c r="D17" s="34">
        <f>SUM(D6:D15)</f>
        <v>2308</v>
      </c>
      <c r="E17" s="11"/>
    </row>
    <row r="19" spans="1:5" ht="21.75" customHeight="1" x14ac:dyDescent="0.25">
      <c r="A19" s="1" t="s">
        <v>595</v>
      </c>
      <c r="B19" s="19" t="s">
        <v>594</v>
      </c>
    </row>
    <row r="20" spans="1:5" x14ac:dyDescent="0.25">
      <c r="A20" s="53" t="s">
        <v>305</v>
      </c>
      <c r="B20" s="53" t="s">
        <v>388</v>
      </c>
    </row>
    <row r="24" spans="1:5" x14ac:dyDescent="0.25">
      <c r="B24" s="43"/>
    </row>
  </sheetData>
  <sheetProtection algorithmName="SHA-512" hashValue="4WYC/F9SCvIPjspHYuZnJz7mf5BhkZRxFlbNomA5xqX+u2R5bodGF0axyOjAvL1/h+ywH4iPz8H+Kl0yY5UrzA==" saltValue="YQFtj6V5yLJCZxMES8DGHw==" spinCount="100000" sheet="1" objects="1" scenarios="1"/>
  <mergeCells count="1">
    <mergeCell ref="A4:D4"/>
  </mergeCells>
  <conditionalFormatting sqref="A6:E8 B19 A12:E17">
    <cfRule type="expression" dxfId="77" priority="8">
      <formula>MOD(ROW(),2)-1</formula>
    </cfRule>
  </conditionalFormatting>
  <conditionalFormatting sqref="A9:E9">
    <cfRule type="expression" dxfId="76" priority="7">
      <formula>MOD(ROW(),2)-1</formula>
    </cfRule>
  </conditionalFormatting>
  <conditionalFormatting sqref="A10 D10">
    <cfRule type="expression" dxfId="75" priority="6">
      <formula>MOD(ROW(),2)-1</formula>
    </cfRule>
  </conditionalFormatting>
  <conditionalFormatting sqref="B10">
    <cfRule type="expression" dxfId="74" priority="5">
      <formula>MOD(ROW(),2)-1</formula>
    </cfRule>
  </conditionalFormatting>
  <conditionalFormatting sqref="C10">
    <cfRule type="expression" dxfId="73" priority="4">
      <formula>MOD(ROW(),2)-1</formula>
    </cfRule>
  </conditionalFormatting>
  <conditionalFormatting sqref="E10">
    <cfRule type="expression" dxfId="72" priority="3">
      <formula>MOD(ROW(),2)-1</formula>
    </cfRule>
  </conditionalFormatting>
  <conditionalFormatting sqref="A11:D11">
    <cfRule type="expression" dxfId="71" priority="1">
      <formula>MOD(ROW(),2)-1</formula>
    </cfRule>
  </conditionalFormatting>
  <dataValidations count="2">
    <dataValidation type="list" allowBlank="1" showInputMessage="1" showErrorMessage="1" sqref="A20">
      <formula1>State</formula1>
    </dataValidation>
    <dataValidation type="list" allowBlank="1" showInputMessage="1" showErrorMessage="1" sqref="B20">
      <formula1>INDIRECT($A$20)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Option Button 4">
              <controlPr defaultSize="0" autoFill="0" autoLine="0" autoPict="0">
                <anchor moveWithCells="1">
                  <from>
                    <xdr:col>1</xdr:col>
                    <xdr:colOff>2695575</xdr:colOff>
                    <xdr:row>0</xdr:row>
                    <xdr:rowOff>47625</xdr:rowOff>
                  </from>
                  <to>
                    <xdr:col>1</xdr:col>
                    <xdr:colOff>3724275</xdr:colOff>
                    <xdr:row>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Option Button 5">
              <controlPr defaultSize="0" autoFill="0" autoLine="0" autoPict="0">
                <anchor moveWithCells="1">
                  <from>
                    <xdr:col>1</xdr:col>
                    <xdr:colOff>2695575</xdr:colOff>
                    <xdr:row>0</xdr:row>
                    <xdr:rowOff>295275</xdr:rowOff>
                  </from>
                  <to>
                    <xdr:col>1</xdr:col>
                    <xdr:colOff>3724275</xdr:colOff>
                    <xdr:row>0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Option Button 6">
              <controlPr defaultSize="0" autoFill="0" autoLine="0" autoPict="0">
                <anchor moveWithCells="1">
                  <from>
                    <xdr:col>1</xdr:col>
                    <xdr:colOff>2695575</xdr:colOff>
                    <xdr:row>0</xdr:row>
                    <xdr:rowOff>552450</xdr:rowOff>
                  </from>
                  <to>
                    <xdr:col>1</xdr:col>
                    <xdr:colOff>3724275</xdr:colOff>
                    <xdr:row>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7" name="Group Box 10">
              <controlPr defaultSize="0" autoFill="0" autoPict="0">
                <anchor moveWithCells="1">
                  <from>
                    <xdr:col>2</xdr:col>
                    <xdr:colOff>180975</xdr:colOff>
                    <xdr:row>0</xdr:row>
                    <xdr:rowOff>0</xdr:rowOff>
                  </from>
                  <to>
                    <xdr:col>4</xdr:col>
                    <xdr:colOff>1857375</xdr:colOff>
                    <xdr:row>0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8" name="Option Button 11">
              <controlPr defaultSize="0" autoFill="0" autoLine="0" autoPict="0">
                <anchor moveWithCells="1">
                  <from>
                    <xdr:col>4</xdr:col>
                    <xdr:colOff>1123950</xdr:colOff>
                    <xdr:row>0</xdr:row>
                    <xdr:rowOff>180975</xdr:rowOff>
                  </from>
                  <to>
                    <xdr:col>4</xdr:col>
                    <xdr:colOff>1752600</xdr:colOff>
                    <xdr:row>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9" name="Option Button 13">
              <controlPr defaultSize="0" autoFill="0" autoLine="0" autoPict="0">
                <anchor moveWithCells="1">
                  <from>
                    <xdr:col>4</xdr:col>
                    <xdr:colOff>1114425</xdr:colOff>
                    <xdr:row>0</xdr:row>
                    <xdr:rowOff>390525</xdr:rowOff>
                  </from>
                  <to>
                    <xdr:col>4</xdr:col>
                    <xdr:colOff>1771650</xdr:colOff>
                    <xdr:row>0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0" name="Group Box 14">
              <controlPr defaultSize="0" autoFill="0" autoPict="0">
                <anchor moveWithCells="1">
                  <from>
                    <xdr:col>4</xdr:col>
                    <xdr:colOff>1009650</xdr:colOff>
                    <xdr:row>0</xdr:row>
                    <xdr:rowOff>838200</xdr:rowOff>
                  </from>
                  <to>
                    <xdr:col>4</xdr:col>
                    <xdr:colOff>1857375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1" name="Option Button 15">
              <controlPr defaultSize="0" autoFill="0" autoLine="0" autoPict="0">
                <anchor moveWithCells="1">
                  <from>
                    <xdr:col>4</xdr:col>
                    <xdr:colOff>1114425</xdr:colOff>
                    <xdr:row>1</xdr:row>
                    <xdr:rowOff>95250</xdr:rowOff>
                  </from>
                  <to>
                    <xdr:col>4</xdr:col>
                    <xdr:colOff>1724025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2" name="Option Button 17">
              <controlPr defaultSize="0" autoFill="0" autoLine="0" autoPict="0">
                <anchor moveWithCells="1">
                  <from>
                    <xdr:col>4</xdr:col>
                    <xdr:colOff>1114425</xdr:colOff>
                    <xdr:row>1</xdr:row>
                    <xdr:rowOff>314325</xdr:rowOff>
                  </from>
                  <to>
                    <xdr:col>4</xdr:col>
                    <xdr:colOff>1695450</xdr:colOff>
                    <xdr:row>1</xdr:row>
                    <xdr:rowOff>523875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8"/>
  <sheetViews>
    <sheetView workbookViewId="0">
      <selection activeCell="A17" sqref="A17"/>
    </sheetView>
  </sheetViews>
  <sheetFormatPr defaultRowHeight="15" x14ac:dyDescent="0.25"/>
  <cols>
    <col min="1" max="1" width="18.42578125" customWidth="1"/>
    <col min="2" max="5" width="18.28515625" customWidth="1"/>
    <col min="6" max="6" width="18.42578125" customWidth="1"/>
    <col min="7" max="7" width="16.85546875" customWidth="1"/>
    <col min="9" max="9" width="15.42578125" customWidth="1"/>
  </cols>
  <sheetData>
    <row r="1" spans="1:11" ht="39" customHeight="1" x14ac:dyDescent="0.25">
      <c r="A1" s="17"/>
      <c r="B1" s="18"/>
      <c r="C1" s="17" t="s">
        <v>604</v>
      </c>
      <c r="D1" s="17" t="s">
        <v>605</v>
      </c>
      <c r="E1" s="17" t="s">
        <v>606</v>
      </c>
      <c r="F1" s="17" t="s">
        <v>607</v>
      </c>
      <c r="G1" s="17" t="s">
        <v>203</v>
      </c>
      <c r="H1" s="17" t="s">
        <v>25</v>
      </c>
      <c r="I1" s="57"/>
      <c r="J1" s="57"/>
      <c r="K1" s="58"/>
    </row>
    <row r="2" spans="1:11" ht="37.5" customHeight="1" x14ac:dyDescent="0.25">
      <c r="A2" s="17" t="s">
        <v>12</v>
      </c>
      <c r="B2" s="17" t="s">
        <v>13</v>
      </c>
      <c r="C2" s="19">
        <f>IF(Costs!$B$20="",VLOOKUP("SAN FRANCISCO, CA",NREL!$A$2:$J$240,8,FALSE),VLOOKUP(Costs!$B$20,NREL!$A$2:$J$240,8,FALSE))</f>
        <v>6.04</v>
      </c>
      <c r="D2" s="19">
        <f>IF(Costs!$B$20="",VLOOKUP("SAN FRANCISCO, CA",NREL!$A$2:$J$240,9,FALSE),VLOOKUP(Costs!$B$20,NREL!$A$2:$J$240,9,FALSE))</f>
        <v>7.12</v>
      </c>
      <c r="E2" s="19">
        <f>IF(Costs!$B$20="",VLOOKUP("SAN FRANCISCO, CA",NREL!$A$2:$J$240,10,FALSE),VLOOKUP(Costs!$B$20,NREL!$A$2:$J$240,10,FALSE))</f>
        <v>5.31</v>
      </c>
      <c r="F2" s="19">
        <f>IF(Costs!$B$20="",VLOOKUP("SAN FRANCISCO, CA",NREL!$A$2:$J$240,7,FALSE),VLOOKUP(Costs!$B$20,NREL!$A$2:$J$240,7,FALSE))</f>
        <v>3.79</v>
      </c>
      <c r="G2" s="19">
        <f>AVERAGE(C2:F2)</f>
        <v>5.5649999999999995</v>
      </c>
      <c r="H2" s="19"/>
      <c r="I2" s="57"/>
      <c r="J2" s="57"/>
      <c r="K2" s="58"/>
    </row>
    <row r="3" spans="1:11" x14ac:dyDescent="0.25">
      <c r="A3" s="20">
        <f>B3/0.75</f>
        <v>147.91506470662142</v>
      </c>
      <c r="B3" s="20">
        <f>IF(Costs!$B$1=1,$G$3/$G$2,IF(Costs!$B$1=2,$D$3/$D$2,IF(Costs!$B$1=3,$F$3/$F$2,"Error")))</f>
        <v>110.93629852996607</v>
      </c>
      <c r="C3" s="20">
        <f>(B3*$C$2)</f>
        <v>670.0552431209951</v>
      </c>
      <c r="D3" s="20">
        <f>IF(Costs!$B$1=2,Usage!$H$120,$B$3*$D$2)</f>
        <v>789.86644553335839</v>
      </c>
      <c r="E3" s="20">
        <f>(B3*$E$2)</f>
        <v>589.07174519411979</v>
      </c>
      <c r="F3" s="20">
        <f>IF(Costs!$B$1=3,Usage!$H$120,$B$3*$F$2)</f>
        <v>420.44857142857137</v>
      </c>
      <c r="G3" s="20">
        <f>IF(Costs!$B$1=1,Usage!$H$120,$B$3*$G$2)</f>
        <v>617.36050131926106</v>
      </c>
      <c r="H3" s="20">
        <f>A3*(G8+1)</f>
        <v>443.74519411986427</v>
      </c>
      <c r="I3" s="57"/>
      <c r="J3" s="57"/>
      <c r="K3" s="58"/>
    </row>
    <row r="4" spans="1:11" x14ac:dyDescent="0.25">
      <c r="A4" s="57"/>
      <c r="B4" s="57"/>
      <c r="C4" s="57"/>
      <c r="D4" s="57"/>
      <c r="E4" s="57"/>
      <c r="F4" s="59"/>
      <c r="G4" s="60"/>
      <c r="H4" s="57"/>
      <c r="I4" s="57"/>
      <c r="J4" s="57"/>
      <c r="K4" s="58"/>
    </row>
    <row r="5" spans="1:1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8"/>
    </row>
    <row r="6" spans="1:1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8"/>
    </row>
    <row r="7" spans="1:11" ht="41.25" customHeight="1" x14ac:dyDescent="0.25">
      <c r="A7" s="17" t="s">
        <v>14</v>
      </c>
      <c r="B7" s="17" t="s">
        <v>15</v>
      </c>
      <c r="C7" s="17" t="s">
        <v>16</v>
      </c>
      <c r="D7" s="17" t="s">
        <v>17</v>
      </c>
      <c r="E7" s="17" t="s">
        <v>18</v>
      </c>
      <c r="F7" s="17" t="s">
        <v>19</v>
      </c>
      <c r="G7" s="17" t="s">
        <v>20</v>
      </c>
      <c r="H7" s="17" t="s">
        <v>21</v>
      </c>
      <c r="I7" s="17" t="s">
        <v>22</v>
      </c>
      <c r="J7" s="57"/>
      <c r="K7" s="58"/>
    </row>
    <row r="8" spans="1:11" x14ac:dyDescent="0.25">
      <c r="A8" s="11" t="s">
        <v>23</v>
      </c>
      <c r="B8" s="21">
        <f>Usage!H121</f>
        <v>35.03738095238095</v>
      </c>
      <c r="C8" s="22">
        <v>0.5</v>
      </c>
      <c r="D8" s="21">
        <f>B8/C8</f>
        <v>70.0747619047619</v>
      </c>
      <c r="E8" s="22">
        <v>0.1</v>
      </c>
      <c r="F8" s="21">
        <f>D8/(1-E8)</f>
        <v>77.860846560846554</v>
      </c>
      <c r="G8" s="11">
        <f>Costs!$B$2</f>
        <v>2</v>
      </c>
      <c r="H8" s="21">
        <f>D8*(G8+1)</f>
        <v>210.22428571428571</v>
      </c>
      <c r="I8" s="21">
        <f>F8*(G8+1)</f>
        <v>233.58253968253968</v>
      </c>
      <c r="J8" s="57"/>
      <c r="K8" s="58"/>
    </row>
    <row r="9" spans="1:11" x14ac:dyDescent="0.25">
      <c r="A9" s="11" t="s">
        <v>24</v>
      </c>
      <c r="B9" s="21">
        <f>Usage!H121</f>
        <v>35.03738095238095</v>
      </c>
      <c r="C9" s="22">
        <v>0.9</v>
      </c>
      <c r="D9" s="21">
        <f>B9/C9</f>
        <v>38.930423280423277</v>
      </c>
      <c r="E9" s="22">
        <v>0.1</v>
      </c>
      <c r="F9" s="21">
        <f>D9/(1-E9)</f>
        <v>43.256025867136977</v>
      </c>
      <c r="G9" s="11">
        <f>Costs!$B$2</f>
        <v>2</v>
      </c>
      <c r="H9" s="21">
        <f>D9*(G9+1)</f>
        <v>116.79126984126984</v>
      </c>
      <c r="I9" s="21">
        <f>F9*(G9+1)</f>
        <v>129.76807760141094</v>
      </c>
      <c r="J9" s="57"/>
      <c r="K9" s="58"/>
    </row>
    <row r="10" spans="1:11" x14ac:dyDescent="0.2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8"/>
    </row>
    <row r="11" spans="1:11" x14ac:dyDescent="0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8"/>
    </row>
    <row r="12" spans="1:11" ht="21.75" customHeight="1" x14ac:dyDescent="0.25">
      <c r="A12" s="61" t="s">
        <v>291</v>
      </c>
      <c r="B12" s="62"/>
      <c r="C12" s="19" t="s">
        <v>294</v>
      </c>
      <c r="D12" s="19" t="s">
        <v>295</v>
      </c>
      <c r="E12" s="19" t="s">
        <v>597</v>
      </c>
      <c r="F12" s="19" t="s">
        <v>620</v>
      </c>
      <c r="G12" s="19" t="s">
        <v>621</v>
      </c>
      <c r="H12" s="19" t="s">
        <v>596</v>
      </c>
      <c r="I12" s="57"/>
      <c r="J12" s="57"/>
      <c r="K12" s="58"/>
    </row>
    <row r="13" spans="1:11" x14ac:dyDescent="0.25">
      <c r="A13" s="63" t="str">
        <f>IF(Costs!$B$20="","SAN FRANCISCO",Costs!$B$20)</f>
        <v>SAN FRANCISCO, CA</v>
      </c>
      <c r="B13" s="63"/>
      <c r="C13" s="31">
        <f>IF(Costs!$B$20="",VLOOKUP("SAN FRANCISCO, CA",NREL!$A$2:$J$240,4,FALSE),VLOOKUP(Costs!$B$20,NREL!$A$2:$J$240,4,FALSE))</f>
        <v>37.619999999999997</v>
      </c>
      <c r="D13" s="31">
        <f>IF(Costs!$B$20="",VLOOKUP("SAN FRANCISCO, CA",NREL!$A$2:$J$240,5,FALSE),VLOOKUP(Costs!$B$20,NREL!$A$2:$J$240,5,FALSE))</f>
        <v>-122.38</v>
      </c>
      <c r="E13" s="20">
        <f>IF(Costs!$B$20="",VLOOKUP("SAN FRANCISCO, CA",NREL!$A$2:$J$240,5,FALSE)/0.3048,VLOOKUP(Costs!$B$20,NREL!$A$2:$J$240,6,FALSE)/0.3048)</f>
        <v>16.404199475065617</v>
      </c>
      <c r="F13" s="64">
        <f ca="1">SunriseSunset!$E$2</f>
        <v>0.24142487537967733</v>
      </c>
      <c r="G13" s="64">
        <f ca="1">SunriseSunset!$F$2</f>
        <v>0.85624648387382851</v>
      </c>
      <c r="H13" s="20">
        <f>IF(Costs!$B$20="",VLOOKUP("SAN FRANCISCO, CA",NREL!$A$2:$J$240,3,FALSE),VLOOKUP(Costs!$B$20,NREL!$A$2:$J$240,3,FALSE))</f>
        <v>23234</v>
      </c>
      <c r="I13" s="57"/>
      <c r="J13" s="57"/>
      <c r="K13" s="58"/>
    </row>
    <row r="14" spans="1:11" x14ac:dyDescent="0.2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8"/>
    </row>
    <row r="15" spans="1:11" x14ac:dyDescent="0.25">
      <c r="A15" s="65"/>
      <c r="B15" s="57"/>
      <c r="C15" s="57"/>
      <c r="D15" s="57"/>
      <c r="E15" s="57"/>
      <c r="F15" s="57"/>
      <c r="G15" s="57"/>
      <c r="H15" s="57"/>
      <c r="I15" s="57"/>
      <c r="J15" s="57"/>
      <c r="K15" s="58"/>
    </row>
    <row r="16" spans="1:11" x14ac:dyDescent="0.25">
      <c r="A16" s="57" t="s">
        <v>630</v>
      </c>
      <c r="B16" s="57"/>
      <c r="C16" s="57"/>
      <c r="D16" s="57"/>
      <c r="E16" s="57"/>
      <c r="F16" s="57"/>
      <c r="G16" s="57"/>
      <c r="H16" s="57"/>
      <c r="I16" s="57"/>
      <c r="J16" s="57"/>
      <c r="K16" s="58"/>
    </row>
    <row r="17" spans="1:11" x14ac:dyDescent="0.2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8"/>
    </row>
    <row r="18" spans="1:11" x14ac:dyDescent="0.25">
      <c r="A18" t="s">
        <v>663</v>
      </c>
    </row>
  </sheetData>
  <sheetProtection algorithmName="SHA-512" hashValue="y/qDXWhRxWtGnE1UuKqM6eIVGtPPubKIhg+0eKzm0YyHis4qCp/GijeEmL98mv0uGRRN9WKooDsHkjqu3fqUyQ==" saltValue="b139ZcC1HTIsDkLDtVUpZg==" spinCount="100000" sheet="1" objects="1" scenarios="1"/>
  <mergeCells count="3">
    <mergeCell ref="K1:K17"/>
    <mergeCell ref="A13:B13"/>
    <mergeCell ref="A12:B12"/>
  </mergeCells>
  <conditionalFormatting sqref="A3:G3">
    <cfRule type="expression" dxfId="70" priority="5">
      <formula>MOD(ROW(),2)-1</formula>
    </cfRule>
  </conditionalFormatting>
  <conditionalFormatting sqref="A8:I9">
    <cfRule type="expression" dxfId="69" priority="3">
      <formula>MOD(ROW(),2)-1</formula>
    </cfRule>
  </conditionalFormatting>
  <conditionalFormatting sqref="H3">
    <cfRule type="expression" dxfId="68" priority="2">
      <formula>MOD(ROW(),2)-1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12"/>
  <sheetViews>
    <sheetView workbookViewId="0">
      <selection activeCell="C116" sqref="C116"/>
    </sheetView>
  </sheetViews>
  <sheetFormatPr defaultRowHeight="15" x14ac:dyDescent="0.25"/>
  <cols>
    <col min="1" max="1" width="9.140625" style="8"/>
    <col min="2" max="2" width="56.85546875" customWidth="1"/>
    <col min="3" max="3" width="9.140625" style="7"/>
    <col min="6" max="6" width="180.5703125" customWidth="1"/>
  </cols>
  <sheetData>
    <row r="1" spans="1:6" ht="24" customHeight="1" x14ac:dyDescent="0.25">
      <c r="A1" s="19" t="s">
        <v>214</v>
      </c>
      <c r="B1" s="19" t="s">
        <v>105</v>
      </c>
      <c r="C1" s="23" t="s">
        <v>94</v>
      </c>
      <c r="D1" s="19" t="s">
        <v>1</v>
      </c>
      <c r="E1" s="19" t="s">
        <v>2</v>
      </c>
      <c r="F1" s="19" t="s">
        <v>96</v>
      </c>
    </row>
    <row r="2" spans="1:6" x14ac:dyDescent="0.25">
      <c r="A2" s="12" t="s">
        <v>227</v>
      </c>
      <c r="B2" s="11" t="s">
        <v>228</v>
      </c>
      <c r="C2" s="13">
        <v>85</v>
      </c>
      <c r="D2" s="21">
        <v>12</v>
      </c>
      <c r="E2" s="21">
        <v>2.7</v>
      </c>
      <c r="F2" s="11" t="s">
        <v>229</v>
      </c>
    </row>
    <row r="3" spans="1:6" x14ac:dyDescent="0.25">
      <c r="A3" s="12" t="s">
        <v>126</v>
      </c>
      <c r="B3" s="11" t="s">
        <v>104</v>
      </c>
      <c r="C3" s="13">
        <v>139</v>
      </c>
      <c r="D3" s="21">
        <v>12</v>
      </c>
      <c r="E3" s="21">
        <v>6</v>
      </c>
      <c r="F3" s="11" t="s">
        <v>230</v>
      </c>
    </row>
    <row r="4" spans="1:6" x14ac:dyDescent="0.25">
      <c r="A4" s="12" t="s">
        <v>127</v>
      </c>
      <c r="B4" s="11" t="s">
        <v>117</v>
      </c>
      <c r="C4" s="13">
        <v>170</v>
      </c>
      <c r="D4" s="21">
        <v>24</v>
      </c>
      <c r="E4" s="21">
        <v>9</v>
      </c>
      <c r="F4" s="11" t="s">
        <v>118</v>
      </c>
    </row>
    <row r="5" spans="1:6" x14ac:dyDescent="0.25">
      <c r="A5" s="12" t="s">
        <v>128</v>
      </c>
      <c r="B5" s="11" t="s">
        <v>97</v>
      </c>
      <c r="C5" s="13">
        <v>150</v>
      </c>
      <c r="D5" s="21">
        <v>36</v>
      </c>
      <c r="E5" s="21">
        <v>9.1199999999999992</v>
      </c>
      <c r="F5" s="11" t="s">
        <v>98</v>
      </c>
    </row>
    <row r="6" spans="1:6" x14ac:dyDescent="0.25">
      <c r="A6" s="28"/>
      <c r="B6" s="27"/>
      <c r="C6" s="29"/>
      <c r="D6" s="30"/>
      <c r="E6" s="30"/>
      <c r="F6" s="27"/>
    </row>
    <row r="7" spans="1:6" x14ac:dyDescent="0.25">
      <c r="A7" s="28"/>
      <c r="B7" s="27"/>
      <c r="C7" s="29"/>
      <c r="D7" s="30"/>
      <c r="E7" s="30"/>
      <c r="F7" s="27"/>
    </row>
    <row r="8" spans="1:6" x14ac:dyDescent="0.25">
      <c r="A8" s="28"/>
      <c r="B8" s="27"/>
      <c r="C8" s="29"/>
      <c r="D8" s="30"/>
      <c r="E8" s="30"/>
      <c r="F8" s="27"/>
    </row>
    <row r="9" spans="1:6" x14ac:dyDescent="0.25">
      <c r="A9" s="28"/>
      <c r="B9" s="27"/>
      <c r="C9" s="29"/>
      <c r="D9" s="30"/>
      <c r="E9" s="30"/>
      <c r="F9" s="27"/>
    </row>
    <row r="10" spans="1:6" ht="21.75" customHeight="1" x14ac:dyDescent="0.25">
      <c r="A10" s="19" t="s">
        <v>214</v>
      </c>
      <c r="B10" s="19" t="s">
        <v>106</v>
      </c>
      <c r="C10" s="23" t="s">
        <v>94</v>
      </c>
      <c r="D10" s="24" t="s">
        <v>2</v>
      </c>
      <c r="E10" s="24"/>
      <c r="F10" s="19" t="s">
        <v>96</v>
      </c>
    </row>
    <row r="11" spans="1:6" x14ac:dyDescent="0.25">
      <c r="A11" s="12" t="s">
        <v>231</v>
      </c>
      <c r="B11" s="11" t="s">
        <v>233</v>
      </c>
      <c r="C11" s="13">
        <v>75</v>
      </c>
      <c r="D11" s="21">
        <v>5</v>
      </c>
      <c r="E11" s="21"/>
      <c r="F11" s="11" t="s">
        <v>237</v>
      </c>
    </row>
    <row r="12" spans="1:6" x14ac:dyDescent="0.25">
      <c r="A12" s="12" t="s">
        <v>232</v>
      </c>
      <c r="B12" s="11" t="s">
        <v>234</v>
      </c>
      <c r="C12" s="13">
        <v>99</v>
      </c>
      <c r="D12" s="21">
        <v>5</v>
      </c>
      <c r="E12" s="21"/>
      <c r="F12" s="16" t="s">
        <v>238</v>
      </c>
    </row>
    <row r="13" spans="1:6" x14ac:dyDescent="0.25">
      <c r="A13" s="12" t="s">
        <v>143</v>
      </c>
      <c r="B13" s="11" t="s">
        <v>235</v>
      </c>
      <c r="C13" s="13">
        <v>109</v>
      </c>
      <c r="D13" s="21">
        <v>10</v>
      </c>
      <c r="E13" s="21"/>
      <c r="F13" s="11" t="s">
        <v>107</v>
      </c>
    </row>
    <row r="14" spans="1:6" x14ac:dyDescent="0.25">
      <c r="A14" s="12" t="s">
        <v>142</v>
      </c>
      <c r="B14" s="11" t="s">
        <v>236</v>
      </c>
      <c r="C14" s="13">
        <v>159</v>
      </c>
      <c r="D14" s="21">
        <v>10</v>
      </c>
      <c r="E14" s="21"/>
      <c r="F14" s="16" t="s">
        <v>108</v>
      </c>
    </row>
    <row r="15" spans="1:6" x14ac:dyDescent="0.25">
      <c r="A15" s="12" t="s">
        <v>622</v>
      </c>
      <c r="B15" s="11" t="s">
        <v>623</v>
      </c>
      <c r="C15" s="13">
        <v>99</v>
      </c>
      <c r="D15" s="21">
        <v>15</v>
      </c>
      <c r="E15" s="21"/>
      <c r="F15" t="s">
        <v>625</v>
      </c>
    </row>
    <row r="16" spans="1:6" x14ac:dyDescent="0.25">
      <c r="A16" s="12" t="s">
        <v>144</v>
      </c>
      <c r="B16" s="11" t="s">
        <v>624</v>
      </c>
      <c r="C16" s="13">
        <v>202</v>
      </c>
      <c r="D16" s="21">
        <v>30</v>
      </c>
      <c r="E16" s="21"/>
      <c r="F16" s="16" t="s">
        <v>101</v>
      </c>
    </row>
    <row r="17" spans="1:6" x14ac:dyDescent="0.25">
      <c r="A17" s="12" t="s">
        <v>145</v>
      </c>
      <c r="B17" s="11" t="s">
        <v>109</v>
      </c>
      <c r="C17" s="13">
        <v>602</v>
      </c>
      <c r="D17" s="21">
        <v>60</v>
      </c>
      <c r="E17" s="21"/>
      <c r="F17" s="11" t="s">
        <v>110</v>
      </c>
    </row>
    <row r="18" spans="1:6" x14ac:dyDescent="0.25">
      <c r="A18" s="12" t="s">
        <v>152</v>
      </c>
      <c r="B18" s="11" t="s">
        <v>151</v>
      </c>
      <c r="C18" s="13">
        <v>672</v>
      </c>
      <c r="D18" s="21">
        <v>80</v>
      </c>
      <c r="E18" s="21"/>
      <c r="F18" s="11" t="s">
        <v>150</v>
      </c>
    </row>
    <row r="19" spans="1:6" x14ac:dyDescent="0.25">
      <c r="A19" s="28"/>
      <c r="B19" s="27"/>
      <c r="C19" s="29"/>
      <c r="D19" s="30"/>
      <c r="E19" s="30"/>
      <c r="F19" s="27"/>
    </row>
    <row r="20" spans="1:6" x14ac:dyDescent="0.25">
      <c r="A20" s="28"/>
      <c r="B20" s="27"/>
      <c r="C20" s="29"/>
      <c r="D20" s="30"/>
      <c r="E20" s="30"/>
      <c r="F20" s="27"/>
    </row>
    <row r="21" spans="1:6" ht="26.25" customHeight="1" x14ac:dyDescent="0.25">
      <c r="A21" s="19" t="s">
        <v>214</v>
      </c>
      <c r="B21" s="19" t="s">
        <v>113</v>
      </c>
      <c r="C21" s="23" t="s">
        <v>94</v>
      </c>
      <c r="D21" s="24" t="s">
        <v>213</v>
      </c>
      <c r="E21" s="24"/>
      <c r="F21" s="19" t="s">
        <v>96</v>
      </c>
    </row>
    <row r="22" spans="1:6" x14ac:dyDescent="0.25">
      <c r="A22" s="12" t="s">
        <v>199</v>
      </c>
      <c r="B22" s="11" t="s">
        <v>200</v>
      </c>
      <c r="C22" s="13">
        <v>94.95</v>
      </c>
      <c r="D22" s="21">
        <v>8</v>
      </c>
      <c r="E22" s="21"/>
      <c r="F22" t="s">
        <v>201</v>
      </c>
    </row>
    <row r="23" spans="1:6" x14ac:dyDescent="0.25">
      <c r="A23" s="12" t="s">
        <v>195</v>
      </c>
      <c r="B23" s="11" t="s">
        <v>194</v>
      </c>
      <c r="C23" s="13">
        <v>124.95</v>
      </c>
      <c r="D23" s="21">
        <v>12</v>
      </c>
      <c r="E23" s="21"/>
      <c r="F23" s="11" t="s">
        <v>202</v>
      </c>
    </row>
    <row r="24" spans="1:6" x14ac:dyDescent="0.25">
      <c r="A24" s="12" t="s">
        <v>129</v>
      </c>
      <c r="B24" s="11" t="s">
        <v>169</v>
      </c>
      <c r="C24" s="13">
        <v>192.95</v>
      </c>
      <c r="D24" s="21">
        <v>20</v>
      </c>
      <c r="E24" s="21"/>
      <c r="F24" t="s">
        <v>111</v>
      </c>
    </row>
    <row r="25" spans="1:6" x14ac:dyDescent="0.25">
      <c r="A25" s="12" t="s">
        <v>130</v>
      </c>
      <c r="B25" s="11" t="s">
        <v>170</v>
      </c>
      <c r="C25" s="13">
        <v>280</v>
      </c>
      <c r="D25" s="21">
        <v>30</v>
      </c>
      <c r="E25" s="21"/>
      <c r="F25" s="11" t="s">
        <v>112</v>
      </c>
    </row>
    <row r="26" spans="1:6" x14ac:dyDescent="0.25">
      <c r="A26" s="12" t="s">
        <v>131</v>
      </c>
      <c r="B26" s="11" t="s">
        <v>171</v>
      </c>
      <c r="C26" s="13">
        <v>360</v>
      </c>
      <c r="D26" s="21">
        <v>40</v>
      </c>
      <c r="E26" s="21"/>
      <c r="F26" s="11" t="s">
        <v>119</v>
      </c>
    </row>
    <row r="27" spans="1:6" x14ac:dyDescent="0.25">
      <c r="A27" s="12" t="s">
        <v>132</v>
      </c>
      <c r="B27" s="11" t="s">
        <v>172</v>
      </c>
      <c r="C27" s="13">
        <v>470</v>
      </c>
      <c r="D27" s="21">
        <v>50</v>
      </c>
      <c r="E27" s="21"/>
      <c r="F27" s="11" t="s">
        <v>120</v>
      </c>
    </row>
    <row r="28" spans="1:6" x14ac:dyDescent="0.25">
      <c r="A28" s="12" t="s">
        <v>133</v>
      </c>
      <c r="B28" s="11" t="s">
        <v>173</v>
      </c>
      <c r="C28" s="13">
        <v>570</v>
      </c>
      <c r="D28" s="21">
        <v>60</v>
      </c>
      <c r="E28" s="21"/>
      <c r="F28" s="11" t="s">
        <v>121</v>
      </c>
    </row>
    <row r="29" spans="1:6" x14ac:dyDescent="0.25">
      <c r="A29" s="12" t="s">
        <v>134</v>
      </c>
      <c r="B29" s="11" t="s">
        <v>174</v>
      </c>
      <c r="C29" s="13">
        <v>750</v>
      </c>
      <c r="D29" s="21">
        <v>80</v>
      </c>
      <c r="E29" s="21"/>
      <c r="F29" s="11" t="s">
        <v>103</v>
      </c>
    </row>
    <row r="30" spans="1:6" x14ac:dyDescent="0.25">
      <c r="A30" s="12" t="s">
        <v>135</v>
      </c>
      <c r="B30" s="11" t="s">
        <v>175</v>
      </c>
      <c r="C30" s="13">
        <v>862</v>
      </c>
      <c r="D30" s="21">
        <v>100</v>
      </c>
      <c r="E30" s="21"/>
      <c r="F30" s="11" t="s">
        <v>122</v>
      </c>
    </row>
    <row r="31" spans="1:6" x14ac:dyDescent="0.25">
      <c r="A31" s="12" t="s">
        <v>136</v>
      </c>
      <c r="B31" s="11" t="s">
        <v>176</v>
      </c>
      <c r="C31" s="13">
        <v>1300</v>
      </c>
      <c r="D31" s="21">
        <v>150</v>
      </c>
      <c r="E31" s="21"/>
      <c r="F31" s="11" t="s">
        <v>123</v>
      </c>
    </row>
    <row r="32" spans="1:6" x14ac:dyDescent="0.25">
      <c r="A32" s="12" t="s">
        <v>137</v>
      </c>
      <c r="B32" s="11" t="s">
        <v>177</v>
      </c>
      <c r="C32" s="13">
        <v>1800</v>
      </c>
      <c r="D32" s="21">
        <v>200</v>
      </c>
      <c r="E32" s="21"/>
      <c r="F32" s="11" t="s">
        <v>124</v>
      </c>
    </row>
    <row r="33" spans="1:6" x14ac:dyDescent="0.25">
      <c r="A33" s="12" t="s">
        <v>138</v>
      </c>
      <c r="B33" s="11" t="s">
        <v>178</v>
      </c>
      <c r="C33" s="13">
        <v>2700</v>
      </c>
      <c r="D33" s="21">
        <v>300</v>
      </c>
      <c r="E33" s="21"/>
      <c r="F33" s="11" t="s">
        <v>125</v>
      </c>
    </row>
    <row r="34" spans="1:6" x14ac:dyDescent="0.25">
      <c r="A34" s="12" t="s">
        <v>138</v>
      </c>
      <c r="B34" s="11" t="s">
        <v>178</v>
      </c>
      <c r="C34" s="13">
        <v>2700</v>
      </c>
      <c r="D34" s="21">
        <v>1836</v>
      </c>
      <c r="E34" s="21"/>
      <c r="F34" s="11" t="s">
        <v>125</v>
      </c>
    </row>
    <row r="35" spans="1:6" x14ac:dyDescent="0.25">
      <c r="A35" s="28"/>
      <c r="B35" s="27"/>
      <c r="C35" s="29"/>
      <c r="D35" s="30"/>
      <c r="E35" s="30"/>
      <c r="F35" s="27"/>
    </row>
    <row r="36" spans="1:6" ht="24.75" customHeight="1" x14ac:dyDescent="0.25">
      <c r="A36" s="19" t="s">
        <v>214</v>
      </c>
      <c r="B36" s="19" t="s">
        <v>114</v>
      </c>
      <c r="C36" s="23" t="s">
        <v>94</v>
      </c>
      <c r="D36" s="24" t="s">
        <v>213</v>
      </c>
      <c r="E36" s="24"/>
      <c r="F36" s="19" t="s">
        <v>96</v>
      </c>
    </row>
    <row r="37" spans="1:6" x14ac:dyDescent="0.25">
      <c r="A37" s="12" t="s">
        <v>196</v>
      </c>
      <c r="B37" s="11" t="s">
        <v>197</v>
      </c>
      <c r="C37" s="13">
        <v>27</v>
      </c>
      <c r="D37" s="21">
        <v>10</v>
      </c>
      <c r="E37" s="21"/>
      <c r="F37" t="s">
        <v>198</v>
      </c>
    </row>
    <row r="38" spans="1:6" x14ac:dyDescent="0.25">
      <c r="A38" s="12" t="s">
        <v>139</v>
      </c>
      <c r="B38" s="11" t="s">
        <v>158</v>
      </c>
      <c r="C38" s="13">
        <v>35.950000000000003</v>
      </c>
      <c r="D38" s="21">
        <v>20</v>
      </c>
      <c r="E38" s="21"/>
      <c r="F38" s="11" t="s">
        <v>115</v>
      </c>
    </row>
    <row r="39" spans="1:6" x14ac:dyDescent="0.25">
      <c r="A39" s="12" t="s">
        <v>166</v>
      </c>
      <c r="B39" s="11" t="s">
        <v>168</v>
      </c>
      <c r="C39" s="13">
        <v>65</v>
      </c>
      <c r="D39" s="21">
        <v>35</v>
      </c>
      <c r="E39" s="21"/>
      <c r="F39" s="11" t="s">
        <v>167</v>
      </c>
    </row>
    <row r="40" spans="1:6" x14ac:dyDescent="0.25">
      <c r="A40" s="12" t="s">
        <v>140</v>
      </c>
      <c r="B40" s="11" t="s">
        <v>159</v>
      </c>
      <c r="C40" s="13">
        <v>125</v>
      </c>
      <c r="D40" s="21">
        <v>55</v>
      </c>
      <c r="E40" s="21"/>
      <c r="F40" s="11" t="s">
        <v>116</v>
      </c>
    </row>
    <row r="41" spans="1:6" x14ac:dyDescent="0.25">
      <c r="A41" s="12" t="s">
        <v>224</v>
      </c>
      <c r="B41" s="11" t="s">
        <v>225</v>
      </c>
      <c r="C41" s="13">
        <v>191</v>
      </c>
      <c r="D41" s="21">
        <v>80</v>
      </c>
      <c r="E41" s="21"/>
      <c r="F41" s="11" t="s">
        <v>226</v>
      </c>
    </row>
    <row r="42" spans="1:6" x14ac:dyDescent="0.25">
      <c r="A42" s="12" t="s">
        <v>179</v>
      </c>
      <c r="B42" s="11" t="s">
        <v>180</v>
      </c>
      <c r="C42" s="13">
        <v>170</v>
      </c>
      <c r="D42" s="21">
        <v>100</v>
      </c>
      <c r="E42" s="21"/>
      <c r="F42" s="11" t="s">
        <v>181</v>
      </c>
    </row>
    <row r="43" spans="1:6" x14ac:dyDescent="0.25">
      <c r="A43" s="12" t="s">
        <v>157</v>
      </c>
      <c r="B43" s="11" t="s">
        <v>165</v>
      </c>
      <c r="C43" s="13">
        <v>384</v>
      </c>
      <c r="D43" s="21">
        <v>140</v>
      </c>
      <c r="E43" s="21"/>
      <c r="F43" s="11" t="s">
        <v>161</v>
      </c>
    </row>
    <row r="44" spans="1:6" x14ac:dyDescent="0.25">
      <c r="A44" s="12" t="s">
        <v>141</v>
      </c>
      <c r="B44" s="11" t="s">
        <v>160</v>
      </c>
      <c r="C44" s="13">
        <v>300</v>
      </c>
      <c r="D44" s="21">
        <v>150</v>
      </c>
      <c r="E44" s="21"/>
      <c r="F44" s="11" t="s">
        <v>102</v>
      </c>
    </row>
    <row r="45" spans="1:6" x14ac:dyDescent="0.25">
      <c r="A45" s="12" t="s">
        <v>163</v>
      </c>
      <c r="B45" s="25" t="s">
        <v>164</v>
      </c>
      <c r="C45" s="13">
        <v>696</v>
      </c>
      <c r="D45" s="21">
        <v>225</v>
      </c>
      <c r="E45" s="21"/>
      <c r="F45" s="11" t="s">
        <v>162</v>
      </c>
    </row>
    <row r="46" spans="1:6" x14ac:dyDescent="0.25">
      <c r="A46" s="12"/>
      <c r="B46" s="25"/>
      <c r="C46" s="13"/>
      <c r="D46" s="21"/>
      <c r="E46" s="21"/>
      <c r="F46" s="11"/>
    </row>
    <row r="47" spans="1:6" x14ac:dyDescent="0.25">
      <c r="A47" s="12"/>
      <c r="B47" s="25"/>
      <c r="C47" s="13"/>
      <c r="D47" s="21"/>
      <c r="E47" s="21"/>
      <c r="F47" s="11"/>
    </row>
    <row r="48" spans="1:6" x14ac:dyDescent="0.25">
      <c r="A48" s="12"/>
      <c r="B48" s="25"/>
      <c r="C48" s="13"/>
      <c r="D48" s="21"/>
      <c r="E48" s="21"/>
      <c r="F48" s="11"/>
    </row>
    <row r="49" spans="1:6" x14ac:dyDescent="0.25">
      <c r="A49" s="28"/>
      <c r="B49" s="27"/>
      <c r="C49" s="29"/>
      <c r="D49" s="30"/>
      <c r="E49" s="30"/>
      <c r="F49" s="27"/>
    </row>
    <row r="50" spans="1:6" x14ac:dyDescent="0.25">
      <c r="A50" s="28"/>
      <c r="B50" s="27"/>
      <c r="C50" s="29"/>
      <c r="D50" s="30"/>
      <c r="E50" s="30"/>
      <c r="F50" s="27"/>
    </row>
    <row r="51" spans="1:6" ht="24" customHeight="1" x14ac:dyDescent="0.25">
      <c r="A51" s="19" t="s">
        <v>214</v>
      </c>
      <c r="B51" s="19" t="s">
        <v>193</v>
      </c>
      <c r="C51" s="23" t="s">
        <v>94</v>
      </c>
      <c r="D51" s="24"/>
      <c r="E51" s="24" t="s">
        <v>2</v>
      </c>
      <c r="F51" s="19" t="s">
        <v>96</v>
      </c>
    </row>
    <row r="52" spans="1:6" x14ac:dyDescent="0.25">
      <c r="A52" s="12" t="s">
        <v>184</v>
      </c>
      <c r="B52" s="11" t="s">
        <v>183</v>
      </c>
      <c r="C52" s="13">
        <v>8</v>
      </c>
      <c r="D52" s="11"/>
      <c r="E52" s="11"/>
      <c r="F52" s="11" t="s">
        <v>182</v>
      </c>
    </row>
    <row r="53" spans="1:6" x14ac:dyDescent="0.25">
      <c r="A53" s="12" t="s">
        <v>153</v>
      </c>
      <c r="B53" s="11" t="s">
        <v>146</v>
      </c>
      <c r="C53" s="13">
        <v>95</v>
      </c>
      <c r="D53" s="13"/>
      <c r="E53" s="13"/>
      <c r="F53" s="11" t="s">
        <v>147</v>
      </c>
    </row>
    <row r="54" spans="1:6" x14ac:dyDescent="0.25">
      <c r="A54" s="12" t="s">
        <v>154</v>
      </c>
      <c r="B54" s="11" t="s">
        <v>155</v>
      </c>
      <c r="C54" s="13">
        <v>156</v>
      </c>
      <c r="D54" s="13"/>
      <c r="E54" s="13"/>
      <c r="F54" s="11" t="s">
        <v>156</v>
      </c>
    </row>
    <row r="55" spans="1:6" x14ac:dyDescent="0.25">
      <c r="A55" s="12" t="s">
        <v>149</v>
      </c>
      <c r="B55" s="11" t="s">
        <v>626</v>
      </c>
      <c r="C55" s="13">
        <v>16</v>
      </c>
      <c r="D55" s="13"/>
      <c r="E55" s="13"/>
      <c r="F55" s="11" t="s">
        <v>148</v>
      </c>
    </row>
    <row r="56" spans="1:6" x14ac:dyDescent="0.25">
      <c r="A56" s="28" t="s">
        <v>244</v>
      </c>
      <c r="B56" s="27" t="s">
        <v>209</v>
      </c>
      <c r="C56" s="29">
        <v>6</v>
      </c>
      <c r="D56" s="27"/>
      <c r="E56" s="27">
        <v>100</v>
      </c>
      <c r="F56" s="27" t="s">
        <v>206</v>
      </c>
    </row>
    <row r="57" spans="1:6" x14ac:dyDescent="0.25">
      <c r="A57" s="28" t="s">
        <v>207</v>
      </c>
      <c r="B57" s="27" t="s">
        <v>205</v>
      </c>
      <c r="C57" s="29">
        <v>41</v>
      </c>
      <c r="D57" s="27"/>
      <c r="E57" s="27">
        <v>100</v>
      </c>
      <c r="F57" s="27" t="s">
        <v>204</v>
      </c>
    </row>
    <row r="58" spans="1:6" x14ac:dyDescent="0.25">
      <c r="A58" s="28" t="s">
        <v>245</v>
      </c>
      <c r="B58" s="27" t="s">
        <v>239</v>
      </c>
      <c r="C58" s="29">
        <v>3</v>
      </c>
      <c r="D58" s="27"/>
      <c r="E58" s="27"/>
      <c r="F58" t="s">
        <v>208</v>
      </c>
    </row>
    <row r="59" spans="1:6" x14ac:dyDescent="0.25">
      <c r="A59" s="28" t="s">
        <v>282</v>
      </c>
      <c r="B59" s="27" t="s">
        <v>285</v>
      </c>
      <c r="C59" s="29">
        <v>13</v>
      </c>
      <c r="D59" s="27"/>
      <c r="E59" s="27">
        <v>20</v>
      </c>
      <c r="F59" s="36" t="s">
        <v>288</v>
      </c>
    </row>
    <row r="60" spans="1:6" x14ac:dyDescent="0.25">
      <c r="A60" s="28" t="s">
        <v>283</v>
      </c>
      <c r="B60" s="27" t="s">
        <v>286</v>
      </c>
      <c r="C60" s="29">
        <v>13</v>
      </c>
      <c r="D60" s="27"/>
      <c r="E60" s="27">
        <v>30</v>
      </c>
      <c r="F60" s="36" t="s">
        <v>289</v>
      </c>
    </row>
    <row r="61" spans="1:6" x14ac:dyDescent="0.25">
      <c r="A61" s="28" t="s">
        <v>284</v>
      </c>
      <c r="B61" s="27" t="s">
        <v>287</v>
      </c>
      <c r="C61" s="29">
        <v>13</v>
      </c>
      <c r="D61" s="27"/>
      <c r="E61" s="27">
        <v>40</v>
      </c>
      <c r="F61" s="36" t="s">
        <v>290</v>
      </c>
    </row>
    <row r="62" spans="1:6" x14ac:dyDescent="0.25">
      <c r="A62" s="28" t="s">
        <v>248</v>
      </c>
      <c r="B62" s="27" t="s">
        <v>267</v>
      </c>
      <c r="C62" s="29">
        <v>14</v>
      </c>
      <c r="D62" s="27"/>
      <c r="E62" s="27">
        <v>50</v>
      </c>
      <c r="F62" t="s">
        <v>249</v>
      </c>
    </row>
    <row r="63" spans="1:6" x14ac:dyDescent="0.25">
      <c r="A63" s="28" t="s">
        <v>250</v>
      </c>
      <c r="B63" s="27" t="s">
        <v>268</v>
      </c>
      <c r="C63" s="29">
        <v>13</v>
      </c>
      <c r="D63" s="27"/>
      <c r="E63" s="27">
        <v>100</v>
      </c>
      <c r="F63" s="27" t="s">
        <v>251</v>
      </c>
    </row>
    <row r="64" spans="1:6" x14ac:dyDescent="0.25">
      <c r="A64" s="28" t="s">
        <v>252</v>
      </c>
      <c r="B64" s="27" t="s">
        <v>269</v>
      </c>
      <c r="C64" s="29">
        <v>24</v>
      </c>
      <c r="D64" s="27"/>
      <c r="E64" s="27">
        <v>150</v>
      </c>
      <c r="F64" s="27" t="s">
        <v>254</v>
      </c>
    </row>
    <row r="65" spans="1:6" x14ac:dyDescent="0.25">
      <c r="A65" s="28" t="s">
        <v>253</v>
      </c>
      <c r="B65" s="27" t="s">
        <v>272</v>
      </c>
      <c r="C65" s="29">
        <v>13</v>
      </c>
      <c r="D65" s="27"/>
      <c r="E65" s="27">
        <v>200</v>
      </c>
      <c r="F65" s="27" t="s">
        <v>255</v>
      </c>
    </row>
    <row r="66" spans="1:6" x14ac:dyDescent="0.25">
      <c r="A66" s="28" t="s">
        <v>247</v>
      </c>
      <c r="B66" s="27" t="s">
        <v>281</v>
      </c>
      <c r="C66" s="29">
        <v>14</v>
      </c>
      <c r="D66" s="27"/>
      <c r="E66" s="27">
        <v>5</v>
      </c>
      <c r="F66" s="27" t="s">
        <v>273</v>
      </c>
    </row>
    <row r="67" spans="1:6" x14ac:dyDescent="0.25">
      <c r="A67" s="28" t="s">
        <v>240</v>
      </c>
      <c r="B67" s="27" t="s">
        <v>274</v>
      </c>
      <c r="C67" s="29">
        <v>14</v>
      </c>
      <c r="D67" s="27"/>
      <c r="E67" s="27">
        <v>10</v>
      </c>
      <c r="F67" s="27" t="s">
        <v>273</v>
      </c>
    </row>
    <row r="68" spans="1:6" x14ac:dyDescent="0.25">
      <c r="A68" s="28" t="s">
        <v>256</v>
      </c>
      <c r="B68" s="27" t="s">
        <v>270</v>
      </c>
      <c r="C68" s="29">
        <v>3.5</v>
      </c>
      <c r="D68" s="27"/>
      <c r="E68" s="27">
        <v>10</v>
      </c>
      <c r="F68" s="27" t="s">
        <v>246</v>
      </c>
    </row>
    <row r="69" spans="1:6" x14ac:dyDescent="0.25">
      <c r="A69" s="28" t="s">
        <v>241</v>
      </c>
      <c r="B69" s="27" t="s">
        <v>275</v>
      </c>
      <c r="C69" s="29">
        <v>14</v>
      </c>
      <c r="D69" s="27"/>
      <c r="E69" s="27">
        <v>15</v>
      </c>
      <c r="F69" s="27" t="s">
        <v>277</v>
      </c>
    </row>
    <row r="70" spans="1:6" x14ac:dyDescent="0.25">
      <c r="A70" s="28" t="s">
        <v>242</v>
      </c>
      <c r="B70" s="27" t="s">
        <v>276</v>
      </c>
      <c r="C70" s="29">
        <v>14</v>
      </c>
      <c r="D70" s="27"/>
      <c r="E70" s="27">
        <v>20</v>
      </c>
      <c r="F70" s="27" t="s">
        <v>278</v>
      </c>
    </row>
    <row r="71" spans="1:6" x14ac:dyDescent="0.25">
      <c r="A71" s="28" t="s">
        <v>257</v>
      </c>
      <c r="B71" s="27" t="s">
        <v>271</v>
      </c>
      <c r="C71" s="29">
        <v>3.5</v>
      </c>
      <c r="D71" s="27"/>
      <c r="E71" s="27">
        <v>20</v>
      </c>
      <c r="F71" s="27" t="s">
        <v>246</v>
      </c>
    </row>
    <row r="72" spans="1:6" x14ac:dyDescent="0.25">
      <c r="A72" s="28" t="s">
        <v>243</v>
      </c>
      <c r="B72" s="27" t="s">
        <v>280</v>
      </c>
      <c r="C72" s="29">
        <v>14</v>
      </c>
      <c r="D72" s="27"/>
      <c r="E72" s="27">
        <v>30</v>
      </c>
      <c r="F72" s="27" t="s">
        <v>279</v>
      </c>
    </row>
    <row r="73" spans="1:6" x14ac:dyDescent="0.25">
      <c r="A73" s="28" t="s">
        <v>258</v>
      </c>
      <c r="B73" s="27" t="s">
        <v>259</v>
      </c>
      <c r="C73" s="29">
        <v>47</v>
      </c>
      <c r="D73" s="27"/>
      <c r="E73" s="27"/>
      <c r="F73" s="27" t="s">
        <v>260</v>
      </c>
    </row>
    <row r="74" spans="1:6" x14ac:dyDescent="0.25">
      <c r="A74" s="28" t="s">
        <v>262</v>
      </c>
      <c r="B74" s="27" t="s">
        <v>263</v>
      </c>
      <c r="C74" s="29">
        <v>97</v>
      </c>
      <c r="D74" s="27"/>
      <c r="E74" s="27"/>
      <c r="F74" s="27" t="s">
        <v>261</v>
      </c>
    </row>
    <row r="75" spans="1:6" x14ac:dyDescent="0.25">
      <c r="A75" s="28" t="s">
        <v>264</v>
      </c>
      <c r="B75" s="27" t="s">
        <v>265</v>
      </c>
      <c r="C75" s="29">
        <v>272</v>
      </c>
      <c r="D75" s="27"/>
      <c r="E75" s="27"/>
      <c r="F75" s="27" t="s">
        <v>266</v>
      </c>
    </row>
    <row r="76" spans="1:6" x14ac:dyDescent="0.25">
      <c r="A76" s="28" t="s">
        <v>608</v>
      </c>
      <c r="B76" s="27" t="s">
        <v>610</v>
      </c>
      <c r="C76" s="29">
        <v>10</v>
      </c>
      <c r="D76" s="27"/>
      <c r="E76" s="27"/>
      <c r="F76" s="27" t="s">
        <v>612</v>
      </c>
    </row>
    <row r="77" spans="1:6" x14ac:dyDescent="0.25">
      <c r="A77" s="28" t="s">
        <v>609</v>
      </c>
      <c r="B77" s="27" t="s">
        <v>611</v>
      </c>
      <c r="C77" s="29">
        <v>10</v>
      </c>
      <c r="D77" s="27"/>
      <c r="E77" s="27"/>
      <c r="F77" s="27" t="s">
        <v>613</v>
      </c>
    </row>
    <row r="78" spans="1:6" x14ac:dyDescent="0.25">
      <c r="A78" s="28"/>
      <c r="B78" s="27"/>
      <c r="C78" s="29"/>
      <c r="D78" s="27"/>
      <c r="E78" s="27"/>
      <c r="F78" s="27"/>
    </row>
    <row r="79" spans="1:6" x14ac:dyDescent="0.25">
      <c r="A79" s="28"/>
      <c r="B79" s="27"/>
      <c r="C79" s="29"/>
      <c r="D79" s="27"/>
      <c r="E79" s="27"/>
      <c r="F79" s="27"/>
    </row>
    <row r="80" spans="1:6" x14ac:dyDescent="0.25">
      <c r="A80" s="28"/>
      <c r="B80" s="27"/>
      <c r="C80" s="29"/>
      <c r="D80" s="27"/>
      <c r="E80" s="27"/>
      <c r="F80" s="27"/>
    </row>
    <row r="81" spans="1:6" x14ac:dyDescent="0.25">
      <c r="A81" s="28"/>
      <c r="B81" s="27"/>
      <c r="C81" s="29"/>
      <c r="D81" s="27"/>
      <c r="E81" s="27"/>
      <c r="F81" s="27"/>
    </row>
    <row r="82" spans="1:6" x14ac:dyDescent="0.25">
      <c r="A82" s="28"/>
      <c r="B82" s="27"/>
      <c r="C82" s="29"/>
      <c r="D82" s="27"/>
      <c r="E82" s="27"/>
      <c r="F82" s="27"/>
    </row>
    <row r="83" spans="1:6" x14ac:dyDescent="0.25">
      <c r="A83" s="28"/>
      <c r="B83" s="27"/>
      <c r="C83" s="29"/>
      <c r="D83" s="27"/>
      <c r="E83" s="27"/>
      <c r="F83" s="27"/>
    </row>
    <row r="84" spans="1:6" x14ac:dyDescent="0.25">
      <c r="A84" s="28"/>
      <c r="B84" s="27"/>
      <c r="C84" s="29"/>
      <c r="D84" s="27"/>
      <c r="E84" s="27"/>
      <c r="F84" s="27"/>
    </row>
    <row r="85" spans="1:6" x14ac:dyDescent="0.25">
      <c r="A85" s="28"/>
      <c r="B85" s="27"/>
      <c r="C85" s="29"/>
      <c r="D85" s="27"/>
      <c r="E85" s="27"/>
      <c r="F85" s="27"/>
    </row>
    <row r="86" spans="1:6" x14ac:dyDescent="0.25">
      <c r="A86" s="28"/>
      <c r="B86" s="27"/>
      <c r="C86" s="29"/>
      <c r="D86" s="27"/>
      <c r="E86" s="27"/>
      <c r="F86" s="27"/>
    </row>
    <row r="87" spans="1:6" x14ac:dyDescent="0.25">
      <c r="A87" s="28"/>
      <c r="B87" s="27"/>
      <c r="C87" s="29"/>
      <c r="D87" s="27"/>
      <c r="E87" s="27"/>
      <c r="F87" s="27"/>
    </row>
    <row r="88" spans="1:6" x14ac:dyDescent="0.25">
      <c r="A88" s="28"/>
      <c r="B88" s="27"/>
      <c r="C88" s="29"/>
      <c r="D88" s="27"/>
      <c r="E88" s="27"/>
      <c r="F88" s="27"/>
    </row>
    <row r="89" spans="1:6" x14ac:dyDescent="0.25">
      <c r="A89" s="28"/>
      <c r="B89" s="27"/>
      <c r="C89" s="29"/>
      <c r="D89" s="27"/>
      <c r="E89" s="27"/>
      <c r="F89" s="27"/>
    </row>
    <row r="90" spans="1:6" x14ac:dyDescent="0.25">
      <c r="A90" s="28"/>
      <c r="B90" s="27"/>
      <c r="C90" s="29"/>
      <c r="D90" s="27"/>
      <c r="E90" s="27"/>
      <c r="F90" s="27"/>
    </row>
    <row r="91" spans="1:6" x14ac:dyDescent="0.25">
      <c r="A91" s="28"/>
      <c r="B91" s="27"/>
      <c r="C91" s="29"/>
      <c r="D91" s="27"/>
      <c r="E91" s="27"/>
      <c r="F91" s="27"/>
    </row>
    <row r="92" spans="1:6" x14ac:dyDescent="0.25">
      <c r="A92" s="28"/>
      <c r="B92" s="27"/>
      <c r="C92" s="29"/>
      <c r="D92" s="27"/>
      <c r="E92" s="27"/>
      <c r="F92" s="27"/>
    </row>
    <row r="93" spans="1:6" x14ac:dyDescent="0.25">
      <c r="A93" s="28"/>
      <c r="B93" s="27"/>
      <c r="C93" s="29"/>
      <c r="D93" s="27"/>
      <c r="E93" s="27"/>
      <c r="F93" s="27"/>
    </row>
    <row r="94" spans="1:6" x14ac:dyDescent="0.25">
      <c r="A94" s="28"/>
      <c r="B94" s="27"/>
      <c r="C94" s="29"/>
      <c r="D94" s="27"/>
      <c r="E94" s="27"/>
      <c r="F94" s="27"/>
    </row>
    <row r="95" spans="1:6" x14ac:dyDescent="0.25">
      <c r="A95" s="28"/>
      <c r="B95" s="27"/>
      <c r="C95" s="29"/>
      <c r="D95" s="27"/>
      <c r="E95" s="27"/>
      <c r="F95" s="27"/>
    </row>
    <row r="96" spans="1:6" x14ac:dyDescent="0.25">
      <c r="A96" s="28"/>
      <c r="B96" s="27"/>
      <c r="C96" s="29"/>
      <c r="D96" s="27"/>
      <c r="E96" s="27"/>
      <c r="F96" s="27"/>
    </row>
    <row r="97" spans="1:6" x14ac:dyDescent="0.25">
      <c r="A97" s="28"/>
      <c r="B97" s="27"/>
      <c r="C97" s="29"/>
      <c r="D97" s="27"/>
      <c r="E97" s="27"/>
      <c r="F97" s="27"/>
    </row>
    <row r="98" spans="1:6" x14ac:dyDescent="0.25">
      <c r="A98" s="28"/>
      <c r="B98" s="27"/>
      <c r="C98" s="29"/>
      <c r="D98" s="27"/>
      <c r="E98" s="27"/>
      <c r="F98" s="27"/>
    </row>
    <row r="99" spans="1:6" x14ac:dyDescent="0.25">
      <c r="A99" s="28"/>
      <c r="B99" s="27"/>
      <c r="C99" s="29"/>
      <c r="D99" s="27"/>
      <c r="E99" s="27"/>
      <c r="F99" s="27"/>
    </row>
    <row r="100" spans="1:6" x14ac:dyDescent="0.25">
      <c r="A100" s="28"/>
      <c r="B100" s="27"/>
      <c r="C100" s="29"/>
      <c r="D100" s="27"/>
      <c r="E100" s="27"/>
      <c r="F100" s="27"/>
    </row>
    <row r="101" spans="1:6" x14ac:dyDescent="0.25">
      <c r="A101" s="28"/>
      <c r="B101" s="27"/>
      <c r="C101" s="29"/>
      <c r="D101" s="27"/>
      <c r="E101" s="27"/>
      <c r="F101" s="27"/>
    </row>
    <row r="102" spans="1:6" x14ac:dyDescent="0.25">
      <c r="A102" s="28"/>
      <c r="B102" s="27"/>
      <c r="C102" s="29"/>
      <c r="D102" s="27"/>
      <c r="E102" s="27"/>
      <c r="F102" s="27"/>
    </row>
    <row r="103" spans="1:6" x14ac:dyDescent="0.25">
      <c r="A103" s="28"/>
      <c r="B103" s="27"/>
      <c r="C103" s="29"/>
      <c r="D103" s="27"/>
      <c r="E103" s="27"/>
      <c r="F103" s="27"/>
    </row>
    <row r="104" spans="1:6" x14ac:dyDescent="0.25">
      <c r="A104" s="28"/>
      <c r="B104" s="27"/>
      <c r="C104" s="29"/>
      <c r="D104" s="27"/>
      <c r="E104" s="27"/>
      <c r="F104" s="27"/>
    </row>
    <row r="105" spans="1:6" x14ac:dyDescent="0.25">
      <c r="A105" s="28"/>
      <c r="B105" s="27"/>
      <c r="C105" s="29"/>
      <c r="D105" s="27"/>
      <c r="E105" s="27"/>
      <c r="F105" s="27"/>
    </row>
    <row r="106" spans="1:6" x14ac:dyDescent="0.25">
      <c r="A106" s="28"/>
      <c r="B106" s="27"/>
      <c r="C106" s="29"/>
      <c r="D106" s="27"/>
      <c r="E106" s="27"/>
      <c r="F106" s="27"/>
    </row>
    <row r="107" spans="1:6" x14ac:dyDescent="0.25">
      <c r="A107" s="28"/>
      <c r="B107" s="27"/>
      <c r="C107" s="29"/>
      <c r="D107" s="27"/>
      <c r="E107" s="27"/>
      <c r="F107" s="27"/>
    </row>
    <row r="108" spans="1:6" x14ac:dyDescent="0.25">
      <c r="A108" s="28"/>
      <c r="B108" s="27"/>
      <c r="C108" s="29"/>
      <c r="D108" s="27"/>
      <c r="E108" s="27"/>
      <c r="F108" s="27"/>
    </row>
    <row r="109" spans="1:6" x14ac:dyDescent="0.25">
      <c r="A109" s="28"/>
      <c r="B109" s="27"/>
      <c r="C109" s="29"/>
      <c r="D109" s="27"/>
      <c r="E109" s="27"/>
      <c r="F109" s="27"/>
    </row>
    <row r="110" spans="1:6" x14ac:dyDescent="0.25">
      <c r="A110" s="28"/>
      <c r="B110" s="27"/>
      <c r="C110" s="29"/>
      <c r="D110" s="27"/>
      <c r="E110" s="27"/>
      <c r="F110" s="27"/>
    </row>
    <row r="111" spans="1:6" x14ac:dyDescent="0.25">
      <c r="A111" s="28"/>
      <c r="B111" s="27"/>
      <c r="C111" s="29"/>
      <c r="D111" s="27"/>
      <c r="E111" s="27"/>
      <c r="F111" s="27"/>
    </row>
    <row r="112" spans="1:6" x14ac:dyDescent="0.25">
      <c r="A112" s="28"/>
      <c r="B112" s="27"/>
      <c r="C112" s="29"/>
      <c r="D112" s="27"/>
      <c r="E112" s="27"/>
      <c r="F112" s="27"/>
    </row>
  </sheetData>
  <sheetProtection algorithmName="SHA-512" hashValue="3Ti0ZNNTnKA+wDRVEdNI5d050faYFI5BwE00OioiwQWMIwKkCt3J+KHN/ZFiXfVBhM8ZDGMC2/FZWkyd8WLnGQ==" saltValue="qU2A6cNAKJ82BpbFgtEsKg==" spinCount="100000" sheet="1" objects="1" scenarios="1"/>
  <conditionalFormatting sqref="A2:F9 A11:F14 A16:F18">
    <cfRule type="expression" dxfId="67" priority="20">
      <formula>MOD(ROW(),2)-1</formula>
    </cfRule>
  </conditionalFormatting>
  <conditionalFormatting sqref="A19:F20">
    <cfRule type="expression" dxfId="66" priority="19">
      <formula>MOD(ROW(),2)-1</formula>
    </cfRule>
  </conditionalFormatting>
  <conditionalFormatting sqref="A25:F34">
    <cfRule type="expression" dxfId="65" priority="18">
      <formula>MOD(ROW(),2)-1</formula>
    </cfRule>
  </conditionalFormatting>
  <conditionalFormatting sqref="A37:F37 A39:F48">
    <cfRule type="expression" dxfId="64" priority="17">
      <formula>MOD(ROW(),2)-1</formula>
    </cfRule>
  </conditionalFormatting>
  <conditionalFormatting sqref="A24:F24">
    <cfRule type="expression" dxfId="63" priority="12">
      <formula>MOD(ROW(),2)-1</formula>
    </cfRule>
  </conditionalFormatting>
  <conditionalFormatting sqref="A38:F38">
    <cfRule type="expression" dxfId="62" priority="11">
      <formula>MOD(ROW(),2)-1</formula>
    </cfRule>
  </conditionalFormatting>
  <conditionalFormatting sqref="A22:F22">
    <cfRule type="expression" dxfId="61" priority="13">
      <formula>MOD(ROW(),2)-1</formula>
    </cfRule>
  </conditionalFormatting>
  <conditionalFormatting sqref="A23:F23">
    <cfRule type="expression" dxfId="60" priority="10">
      <formula>MOD(ROW(),2)-1</formula>
    </cfRule>
  </conditionalFormatting>
  <conditionalFormatting sqref="A69:F70 A73:F109 A72 C72:F72 A52:F58 A62:F67">
    <cfRule type="expression" dxfId="59" priority="9">
      <formula>MOD(ROW(),2)-1</formula>
    </cfRule>
  </conditionalFormatting>
  <conditionalFormatting sqref="A68:F68">
    <cfRule type="expression" dxfId="58" priority="8">
      <formula>MOD(ROW(),2)-1</formula>
    </cfRule>
  </conditionalFormatting>
  <conditionalFormatting sqref="A71:F71">
    <cfRule type="expression" dxfId="57" priority="7">
      <formula>MOD(ROW(),2)-1</formula>
    </cfRule>
  </conditionalFormatting>
  <conditionalFormatting sqref="B72">
    <cfRule type="expression" dxfId="56" priority="5">
      <formula>MOD(ROW(),2)-1</formula>
    </cfRule>
  </conditionalFormatting>
  <conditionalFormatting sqref="A60:F60">
    <cfRule type="expression" dxfId="55" priority="3">
      <formula>MOD(ROW(),2)-1</formula>
    </cfRule>
  </conditionalFormatting>
  <conditionalFormatting sqref="A59:F59">
    <cfRule type="expression" dxfId="54" priority="4">
      <formula>MOD(ROW(),2)-1</formula>
    </cfRule>
  </conditionalFormatting>
  <conditionalFormatting sqref="A61:F61">
    <cfRule type="expression" dxfId="53" priority="2">
      <formula>MOD(ROW(),2)-1</formula>
    </cfRule>
  </conditionalFormatting>
  <conditionalFormatting sqref="A15:F15">
    <cfRule type="expression" dxfId="52" priority="1">
      <formula>MOD(ROW(),2)-1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240"/>
  <sheetViews>
    <sheetView workbookViewId="0">
      <selection activeCell="A9" sqref="A9"/>
    </sheetView>
  </sheetViews>
  <sheetFormatPr defaultRowHeight="15" x14ac:dyDescent="0.25"/>
  <cols>
    <col min="1" max="1" width="23.42578125" customWidth="1"/>
    <col min="2" max="2" width="5.7109375" customWidth="1"/>
    <col min="3" max="3" width="7.5703125" customWidth="1"/>
    <col min="4" max="4" width="7.85546875" style="40" customWidth="1"/>
    <col min="5" max="5" width="8.140625" style="40" customWidth="1"/>
    <col min="6" max="6" width="6.28515625" customWidth="1"/>
    <col min="7" max="7" width="7.7109375" customWidth="1"/>
    <col min="8" max="8" width="7.28515625" customWidth="1"/>
    <col min="11" max="11" width="9.5703125" style="41" customWidth="1"/>
    <col min="12" max="12" width="6.7109375" style="48" customWidth="1"/>
    <col min="13" max="13" width="3.85546875" style="41" customWidth="1"/>
    <col min="14" max="14" width="10.28515625" customWidth="1"/>
    <col min="16" max="16" width="122.42578125" customWidth="1"/>
  </cols>
  <sheetData>
    <row r="1" spans="1:16" ht="25.5" customHeight="1" x14ac:dyDescent="0.25">
      <c r="A1" s="1" t="s">
        <v>291</v>
      </c>
      <c r="B1" s="1" t="s">
        <v>292</v>
      </c>
      <c r="C1" s="1" t="s">
        <v>293</v>
      </c>
      <c r="D1" s="38" t="s">
        <v>294</v>
      </c>
      <c r="E1" s="38" t="s">
        <v>295</v>
      </c>
      <c r="F1" s="1" t="s">
        <v>296</v>
      </c>
      <c r="G1" s="1" t="s">
        <v>297</v>
      </c>
      <c r="H1" s="1" t="s">
        <v>298</v>
      </c>
      <c r="I1" s="1" t="s">
        <v>299</v>
      </c>
      <c r="J1" s="45" t="s">
        <v>300</v>
      </c>
      <c r="K1" s="37" t="s">
        <v>642</v>
      </c>
      <c r="L1" s="37" t="s">
        <v>641</v>
      </c>
      <c r="M1" s="37"/>
      <c r="N1" s="37" t="s">
        <v>353</v>
      </c>
    </row>
    <row r="2" spans="1:16" x14ac:dyDescent="0.25">
      <c r="A2" s="2" t="s">
        <v>364</v>
      </c>
      <c r="B2" s="2" t="s">
        <v>301</v>
      </c>
      <c r="C2" s="2">
        <v>26451</v>
      </c>
      <c r="D2" s="39">
        <v>61.17</v>
      </c>
      <c r="E2" s="39">
        <v>-150.02000000000001</v>
      </c>
      <c r="F2" s="2">
        <v>35</v>
      </c>
      <c r="G2" s="2">
        <v>1.32</v>
      </c>
      <c r="H2" s="2">
        <v>4.51</v>
      </c>
      <c r="I2" s="2">
        <v>4.54</v>
      </c>
      <c r="J2" s="46">
        <v>2.11</v>
      </c>
      <c r="K2" s="3">
        <v>-9</v>
      </c>
      <c r="L2" s="49">
        <v>1</v>
      </c>
      <c r="M2" s="3"/>
      <c r="N2" s="2" t="s">
        <v>301</v>
      </c>
      <c r="P2" s="2" t="s">
        <v>629</v>
      </c>
    </row>
    <row r="3" spans="1:16" x14ac:dyDescent="0.25">
      <c r="A3" s="2" t="s">
        <v>355</v>
      </c>
      <c r="B3" s="2" t="s">
        <v>301</v>
      </c>
      <c r="C3" s="2">
        <v>25308</v>
      </c>
      <c r="D3" s="39">
        <v>55.03</v>
      </c>
      <c r="E3" s="39">
        <v>-131.57</v>
      </c>
      <c r="F3" s="2">
        <v>34</v>
      </c>
      <c r="G3" s="2">
        <v>1.57</v>
      </c>
      <c r="H3" s="2">
        <v>4.0199999999999996</v>
      </c>
      <c r="I3" s="2">
        <v>4.75</v>
      </c>
      <c r="J3" s="46">
        <v>2.34</v>
      </c>
      <c r="K3" s="3">
        <v>-9</v>
      </c>
      <c r="L3" s="49">
        <v>1</v>
      </c>
      <c r="M3" s="3"/>
      <c r="N3" s="2" t="s">
        <v>302</v>
      </c>
      <c r="P3" t="s">
        <v>603</v>
      </c>
    </row>
    <row r="4" spans="1:16" x14ac:dyDescent="0.25">
      <c r="A4" s="2" t="s">
        <v>371</v>
      </c>
      <c r="B4" s="2" t="s">
        <v>301</v>
      </c>
      <c r="C4" s="2">
        <v>27502</v>
      </c>
      <c r="D4" s="39">
        <v>71.3</v>
      </c>
      <c r="E4" s="39">
        <v>-156.78</v>
      </c>
      <c r="F4" s="2">
        <v>4</v>
      </c>
      <c r="G4" s="2">
        <v>0.39</v>
      </c>
      <c r="H4" s="2">
        <v>5.01</v>
      </c>
      <c r="I4" s="2">
        <v>4.0599999999999996</v>
      </c>
      <c r="J4" s="46">
        <v>0.9</v>
      </c>
      <c r="K4" s="3">
        <v>-9</v>
      </c>
      <c r="L4" s="49">
        <v>1</v>
      </c>
      <c r="M4" s="3"/>
      <c r="N4" s="2" t="s">
        <v>303</v>
      </c>
      <c r="P4" t="s">
        <v>598</v>
      </c>
    </row>
    <row r="5" spans="1:16" x14ac:dyDescent="0.25">
      <c r="A5" s="2" t="s">
        <v>368</v>
      </c>
      <c r="B5" s="2" t="s">
        <v>301</v>
      </c>
      <c r="C5" s="2">
        <v>26615</v>
      </c>
      <c r="D5" s="39">
        <v>60.78</v>
      </c>
      <c r="E5" s="39">
        <v>-161.80000000000001</v>
      </c>
      <c r="F5" s="2">
        <v>46</v>
      </c>
      <c r="G5" s="2">
        <v>1.88</v>
      </c>
      <c r="H5" s="2">
        <v>4.78</v>
      </c>
      <c r="I5" s="2">
        <v>4.16</v>
      </c>
      <c r="J5" s="46">
        <v>2.19</v>
      </c>
      <c r="K5" s="3">
        <v>-9</v>
      </c>
      <c r="L5" s="49">
        <v>1</v>
      </c>
      <c r="M5" s="3"/>
      <c r="N5" s="2" t="s">
        <v>304</v>
      </c>
      <c r="P5" t="s">
        <v>599</v>
      </c>
    </row>
    <row r="6" spans="1:16" x14ac:dyDescent="0.25">
      <c r="A6" s="2" t="s">
        <v>367</v>
      </c>
      <c r="B6" s="2" t="s">
        <v>301</v>
      </c>
      <c r="C6" s="2">
        <v>26533</v>
      </c>
      <c r="D6" s="39">
        <v>66.92</v>
      </c>
      <c r="E6" s="39">
        <v>-151.52000000000001</v>
      </c>
      <c r="F6" s="2">
        <v>205</v>
      </c>
      <c r="G6" s="2">
        <v>0.97</v>
      </c>
      <c r="H6" s="2">
        <v>5.45</v>
      </c>
      <c r="I6" s="2">
        <v>4.96</v>
      </c>
      <c r="J6" s="46">
        <v>2</v>
      </c>
      <c r="K6" s="3">
        <v>-9</v>
      </c>
      <c r="L6" s="49">
        <v>1</v>
      </c>
      <c r="M6" s="3"/>
      <c r="N6" s="2" t="s">
        <v>305</v>
      </c>
      <c r="P6" t="s">
        <v>600</v>
      </c>
    </row>
    <row r="7" spans="1:16" x14ac:dyDescent="0.25">
      <c r="A7" s="2" t="s">
        <v>362</v>
      </c>
      <c r="B7" s="2" t="s">
        <v>301</v>
      </c>
      <c r="C7" s="2">
        <v>26415</v>
      </c>
      <c r="D7" s="39">
        <v>64</v>
      </c>
      <c r="E7" s="39">
        <v>-145.72999999999999</v>
      </c>
      <c r="F7" s="2">
        <v>388</v>
      </c>
      <c r="G7" s="2">
        <v>1.51</v>
      </c>
      <c r="H7" s="2">
        <v>5.27</v>
      </c>
      <c r="I7" s="2">
        <v>5.0999999999999996</v>
      </c>
      <c r="J7" s="46">
        <v>2.39</v>
      </c>
      <c r="K7" s="3">
        <v>-9</v>
      </c>
      <c r="L7" s="49">
        <v>1</v>
      </c>
      <c r="M7" s="3"/>
      <c r="N7" s="2" t="s">
        <v>306</v>
      </c>
      <c r="P7" t="s">
        <v>601</v>
      </c>
    </row>
    <row r="8" spans="1:16" x14ac:dyDescent="0.25">
      <c r="A8" s="2" t="s">
        <v>359</v>
      </c>
      <c r="B8" s="2" t="s">
        <v>301</v>
      </c>
      <c r="C8" s="2">
        <v>25624</v>
      </c>
      <c r="D8" s="39">
        <v>55.2</v>
      </c>
      <c r="E8" s="39">
        <v>-162.72</v>
      </c>
      <c r="F8" s="2">
        <v>29</v>
      </c>
      <c r="G8" s="2">
        <v>1.52</v>
      </c>
      <c r="H8" s="2">
        <v>3.32</v>
      </c>
      <c r="I8" s="2">
        <v>3.55</v>
      </c>
      <c r="J8" s="46">
        <v>1.89</v>
      </c>
      <c r="K8" s="3">
        <v>-9</v>
      </c>
      <c r="L8" s="49">
        <v>1</v>
      </c>
      <c r="M8" s="3"/>
      <c r="N8" s="2" t="s">
        <v>307</v>
      </c>
      <c r="P8" t="s">
        <v>602</v>
      </c>
    </row>
    <row r="9" spans="1:16" x14ac:dyDescent="0.25">
      <c r="A9" s="2" t="s">
        <v>361</v>
      </c>
      <c r="B9" s="2" t="s">
        <v>301</v>
      </c>
      <c r="C9" s="2">
        <v>26411</v>
      </c>
      <c r="D9" s="39">
        <v>64.819999999999993</v>
      </c>
      <c r="E9" s="39">
        <v>-147.87</v>
      </c>
      <c r="F9" s="2">
        <v>138</v>
      </c>
      <c r="G9" s="2">
        <v>1.19</v>
      </c>
      <c r="H9" s="2">
        <v>5.32</v>
      </c>
      <c r="I9" s="2">
        <v>5.07</v>
      </c>
      <c r="J9" s="46">
        <v>2.19</v>
      </c>
      <c r="K9" s="3">
        <v>-9</v>
      </c>
      <c r="L9" s="49">
        <v>1</v>
      </c>
      <c r="M9" s="3"/>
      <c r="N9" s="2" t="s">
        <v>308</v>
      </c>
      <c r="P9" t="s">
        <v>664</v>
      </c>
    </row>
    <row r="10" spans="1:16" x14ac:dyDescent="0.25">
      <c r="A10" s="2" t="s">
        <v>363</v>
      </c>
      <c r="B10" s="2" t="s">
        <v>301</v>
      </c>
      <c r="C10" s="2">
        <v>26425</v>
      </c>
      <c r="D10" s="39">
        <v>62.15</v>
      </c>
      <c r="E10" s="39">
        <v>-145.44999999999999</v>
      </c>
      <c r="F10" s="2">
        <v>481</v>
      </c>
      <c r="G10" s="2">
        <v>1.64</v>
      </c>
      <c r="H10" s="2">
        <v>5.32</v>
      </c>
      <c r="I10" s="2">
        <v>5.25</v>
      </c>
      <c r="J10" s="46">
        <v>2.6</v>
      </c>
      <c r="K10" s="3">
        <v>-9</v>
      </c>
      <c r="L10" s="49">
        <v>1</v>
      </c>
      <c r="M10" s="3"/>
      <c r="N10" s="2" t="s">
        <v>309</v>
      </c>
    </row>
    <row r="11" spans="1:16" x14ac:dyDescent="0.25">
      <c r="A11" s="2" t="s">
        <v>358</v>
      </c>
      <c r="B11" s="2" t="s">
        <v>301</v>
      </c>
      <c r="C11" s="2">
        <v>25503</v>
      </c>
      <c r="D11" s="39">
        <v>58.68</v>
      </c>
      <c r="E11" s="39">
        <v>-156.65</v>
      </c>
      <c r="F11" s="2">
        <v>15</v>
      </c>
      <c r="G11" s="2">
        <v>1.9</v>
      </c>
      <c r="H11" s="2">
        <v>4.25</v>
      </c>
      <c r="I11" s="2">
        <v>4.1900000000000004</v>
      </c>
      <c r="J11" s="46">
        <v>2.37</v>
      </c>
      <c r="K11" s="3">
        <v>-9</v>
      </c>
      <c r="L11" s="49">
        <v>1</v>
      </c>
      <c r="M11" s="3"/>
      <c r="N11" s="2" t="s">
        <v>310</v>
      </c>
    </row>
    <row r="12" spans="1:16" x14ac:dyDescent="0.25">
      <c r="A12" s="2" t="s">
        <v>357</v>
      </c>
      <c r="B12" s="2" t="s">
        <v>301</v>
      </c>
      <c r="C12" s="2">
        <v>25501</v>
      </c>
      <c r="D12" s="39">
        <v>57.75</v>
      </c>
      <c r="E12" s="39">
        <v>-152.33000000000001</v>
      </c>
      <c r="F12" s="2">
        <v>34</v>
      </c>
      <c r="G12" s="2">
        <v>1.71</v>
      </c>
      <c r="H12" s="2">
        <v>4.1399999999999997</v>
      </c>
      <c r="I12" s="2">
        <v>4.45</v>
      </c>
      <c r="J12" s="46">
        <v>2.63</v>
      </c>
      <c r="K12" s="3">
        <v>-9</v>
      </c>
      <c r="L12" s="49">
        <v>1</v>
      </c>
      <c r="M12" s="3"/>
      <c r="N12" s="2" t="s">
        <v>311</v>
      </c>
    </row>
    <row r="13" spans="1:16" x14ac:dyDescent="0.25">
      <c r="A13" s="2" t="s">
        <v>369</v>
      </c>
      <c r="B13" s="2" t="s">
        <v>301</v>
      </c>
      <c r="C13" s="2">
        <v>26616</v>
      </c>
      <c r="D13" s="39">
        <v>66.87</v>
      </c>
      <c r="E13" s="39">
        <v>-162.63</v>
      </c>
      <c r="F13" s="2">
        <v>5</v>
      </c>
      <c r="G13" s="2">
        <v>0.96</v>
      </c>
      <c r="H13" s="2">
        <v>5.63</v>
      </c>
      <c r="I13" s="2">
        <v>4.75</v>
      </c>
      <c r="J13" s="46">
        <v>2</v>
      </c>
      <c r="K13" s="3">
        <v>-9</v>
      </c>
      <c r="L13" s="49">
        <v>1</v>
      </c>
      <c r="M13" s="3"/>
      <c r="N13" s="2" t="s">
        <v>312</v>
      </c>
    </row>
    <row r="14" spans="1:16" x14ac:dyDescent="0.25">
      <c r="A14" s="2" t="s">
        <v>365</v>
      </c>
      <c r="B14" s="2" t="s">
        <v>301</v>
      </c>
      <c r="C14" s="2">
        <v>26510</v>
      </c>
      <c r="D14" s="39">
        <v>62.97</v>
      </c>
      <c r="E14" s="39">
        <v>-155.62</v>
      </c>
      <c r="F14" s="2">
        <v>103</v>
      </c>
      <c r="G14" s="2">
        <v>1.59</v>
      </c>
      <c r="H14" s="2">
        <v>5.18</v>
      </c>
      <c r="I14" s="2">
        <v>4.5599999999999996</v>
      </c>
      <c r="J14" s="46">
        <v>2.16</v>
      </c>
      <c r="K14" s="3">
        <v>-9</v>
      </c>
      <c r="L14" s="49">
        <v>1</v>
      </c>
      <c r="M14" s="3"/>
      <c r="N14" s="2" t="s">
        <v>313</v>
      </c>
    </row>
    <row r="15" spans="1:16" x14ac:dyDescent="0.25">
      <c r="A15" s="2" t="s">
        <v>370</v>
      </c>
      <c r="B15" s="2" t="s">
        <v>301</v>
      </c>
      <c r="C15" s="2">
        <v>26617</v>
      </c>
      <c r="D15" s="39">
        <v>64.5</v>
      </c>
      <c r="E15" s="39">
        <v>-165.43</v>
      </c>
      <c r="F15" s="2">
        <v>7</v>
      </c>
      <c r="G15" s="2">
        <v>1.42</v>
      </c>
      <c r="H15" s="2">
        <v>5.5</v>
      </c>
      <c r="I15" s="2">
        <v>4.59</v>
      </c>
      <c r="J15" s="46">
        <v>2.2200000000000002</v>
      </c>
      <c r="K15" s="3">
        <v>-9</v>
      </c>
      <c r="L15" s="49">
        <v>1</v>
      </c>
      <c r="M15" s="3"/>
      <c r="N15" s="2" t="s">
        <v>314</v>
      </c>
    </row>
    <row r="16" spans="1:16" x14ac:dyDescent="0.25">
      <c r="A16" s="2" t="s">
        <v>360</v>
      </c>
      <c r="B16" s="2" t="s">
        <v>301</v>
      </c>
      <c r="C16" s="2">
        <v>25713</v>
      </c>
      <c r="D16" s="39">
        <v>57.15</v>
      </c>
      <c r="E16" s="39">
        <v>-170.22</v>
      </c>
      <c r="F16" s="2">
        <v>7</v>
      </c>
      <c r="G16" s="2">
        <v>1.39</v>
      </c>
      <c r="H16" s="2">
        <v>3.77</v>
      </c>
      <c r="I16" s="2">
        <v>3.47</v>
      </c>
      <c r="J16" s="46">
        <v>1.82</v>
      </c>
      <c r="K16" s="3">
        <v>-9</v>
      </c>
      <c r="L16" s="49">
        <v>1</v>
      </c>
      <c r="M16" s="3"/>
      <c r="N16" s="2" t="s">
        <v>315</v>
      </c>
    </row>
    <row r="17" spans="1:14" x14ac:dyDescent="0.25">
      <c r="A17" s="2" t="s">
        <v>366</v>
      </c>
      <c r="B17" s="2" t="s">
        <v>301</v>
      </c>
      <c r="C17" s="2">
        <v>26528</v>
      </c>
      <c r="D17" s="39">
        <v>62.3</v>
      </c>
      <c r="E17" s="39">
        <v>-150.1</v>
      </c>
      <c r="F17" s="2">
        <v>105</v>
      </c>
      <c r="G17" s="2">
        <v>1.7</v>
      </c>
      <c r="H17" s="2">
        <v>4.99</v>
      </c>
      <c r="I17" s="2">
        <v>4.5999999999999996</v>
      </c>
      <c r="J17" s="46">
        <v>2.46</v>
      </c>
      <c r="K17" s="3">
        <v>-9</v>
      </c>
      <c r="L17" s="49">
        <v>1</v>
      </c>
      <c r="M17" s="3"/>
      <c r="N17" s="2" t="s">
        <v>316</v>
      </c>
    </row>
    <row r="18" spans="1:14" x14ac:dyDescent="0.25">
      <c r="A18" s="2" t="s">
        <v>356</v>
      </c>
      <c r="B18" s="2" t="s">
        <v>301</v>
      </c>
      <c r="C18" s="2">
        <v>25339</v>
      </c>
      <c r="D18" s="39">
        <v>59.52</v>
      </c>
      <c r="E18" s="39">
        <v>-139.66999999999999</v>
      </c>
      <c r="F18" s="2">
        <v>9</v>
      </c>
      <c r="G18" s="2">
        <v>1.38</v>
      </c>
      <c r="H18" s="2">
        <v>3.93</v>
      </c>
      <c r="I18" s="2">
        <v>4.09</v>
      </c>
      <c r="J18" s="46">
        <v>1.92</v>
      </c>
      <c r="K18" s="3">
        <v>-9</v>
      </c>
      <c r="L18" s="49">
        <v>1</v>
      </c>
      <c r="M18" s="3"/>
      <c r="N18" s="2" t="s">
        <v>317</v>
      </c>
    </row>
    <row r="19" spans="1:14" x14ac:dyDescent="0.25">
      <c r="A19" s="2" t="s">
        <v>373</v>
      </c>
      <c r="B19" s="2" t="s">
        <v>302</v>
      </c>
      <c r="C19" s="2">
        <v>13876</v>
      </c>
      <c r="D19" s="39">
        <v>33.57</v>
      </c>
      <c r="E19" s="39">
        <v>-86.75</v>
      </c>
      <c r="F19" s="2">
        <v>192</v>
      </c>
      <c r="G19" s="2">
        <v>3.93</v>
      </c>
      <c r="H19" s="2">
        <v>5.58</v>
      </c>
      <c r="I19" s="2">
        <v>5.96</v>
      </c>
      <c r="J19" s="46">
        <v>4.92</v>
      </c>
      <c r="K19" s="3">
        <v>-6</v>
      </c>
      <c r="L19" s="49">
        <v>1</v>
      </c>
      <c r="M19" s="3"/>
      <c r="N19" s="2" t="s">
        <v>318</v>
      </c>
    </row>
    <row r="20" spans="1:14" x14ac:dyDescent="0.25">
      <c r="A20" s="2" t="s">
        <v>372</v>
      </c>
      <c r="B20" s="2" t="s">
        <v>302</v>
      </c>
      <c r="C20" s="2">
        <v>3856</v>
      </c>
      <c r="D20" s="39">
        <v>34.65</v>
      </c>
      <c r="E20" s="39">
        <v>-86.77</v>
      </c>
      <c r="F20" s="2">
        <v>190</v>
      </c>
      <c r="G20" s="2">
        <v>3.68</v>
      </c>
      <c r="H20" s="2">
        <v>5.47</v>
      </c>
      <c r="I20" s="2">
        <v>6.09</v>
      </c>
      <c r="J20" s="46">
        <v>4.8</v>
      </c>
      <c r="K20" s="3">
        <v>-6</v>
      </c>
      <c r="L20" s="49">
        <v>1</v>
      </c>
      <c r="M20" s="3"/>
      <c r="N20" s="2" t="s">
        <v>319</v>
      </c>
    </row>
    <row r="21" spans="1:14" x14ac:dyDescent="0.25">
      <c r="A21" s="2" t="s">
        <v>374</v>
      </c>
      <c r="B21" s="2" t="s">
        <v>302</v>
      </c>
      <c r="C21" s="2">
        <v>13894</v>
      </c>
      <c r="D21" s="39">
        <v>30.68</v>
      </c>
      <c r="E21" s="39">
        <v>-88.25</v>
      </c>
      <c r="F21" s="2">
        <v>67</v>
      </c>
      <c r="G21" s="2">
        <v>3.97</v>
      </c>
      <c r="H21" s="2">
        <v>5.5</v>
      </c>
      <c r="I21" s="2">
        <v>5.61</v>
      </c>
      <c r="J21" s="46">
        <v>4.9800000000000004</v>
      </c>
      <c r="K21" s="3">
        <v>-6</v>
      </c>
      <c r="L21" s="49">
        <v>1</v>
      </c>
      <c r="M21" s="3"/>
      <c r="N21" s="2" t="s">
        <v>320</v>
      </c>
    </row>
    <row r="22" spans="1:14" x14ac:dyDescent="0.25">
      <c r="A22" s="2" t="s">
        <v>375</v>
      </c>
      <c r="B22" s="2" t="s">
        <v>302</v>
      </c>
      <c r="C22" s="2">
        <v>13895</v>
      </c>
      <c r="D22" s="39">
        <v>32.299999999999997</v>
      </c>
      <c r="E22" s="39">
        <v>-86.4</v>
      </c>
      <c r="F22" s="2">
        <v>62</v>
      </c>
      <c r="G22" s="2">
        <v>4.08</v>
      </c>
      <c r="H22" s="2">
        <v>5.77</v>
      </c>
      <c r="I22" s="2">
        <v>6.12</v>
      </c>
      <c r="J22" s="46">
        <v>5.09</v>
      </c>
      <c r="K22" s="3">
        <v>-6</v>
      </c>
      <c r="L22" s="49">
        <v>1</v>
      </c>
      <c r="M22" s="3"/>
      <c r="N22" s="2" t="s">
        <v>321</v>
      </c>
    </row>
    <row r="23" spans="1:14" x14ac:dyDescent="0.25">
      <c r="A23" s="2" t="s">
        <v>377</v>
      </c>
      <c r="B23" s="2" t="s">
        <v>303</v>
      </c>
      <c r="C23" s="2">
        <v>13964</v>
      </c>
      <c r="D23" s="39">
        <v>35.33</v>
      </c>
      <c r="E23" s="39">
        <v>-94.37</v>
      </c>
      <c r="F23" s="2">
        <v>141</v>
      </c>
      <c r="G23" s="2">
        <v>4.22</v>
      </c>
      <c r="H23" s="2">
        <v>5.62</v>
      </c>
      <c r="I23" s="2">
        <v>6.44</v>
      </c>
      <c r="J23" s="46">
        <v>4.95</v>
      </c>
      <c r="K23" s="3">
        <v>-6</v>
      </c>
      <c r="L23" s="49">
        <v>1</v>
      </c>
      <c r="M23" s="3"/>
      <c r="N23" s="2" t="s">
        <v>322</v>
      </c>
    </row>
    <row r="24" spans="1:14" x14ac:dyDescent="0.25">
      <c r="A24" s="2" t="s">
        <v>376</v>
      </c>
      <c r="B24" s="2" t="s">
        <v>303</v>
      </c>
      <c r="C24" s="2">
        <v>13963</v>
      </c>
      <c r="D24" s="39">
        <v>34.729999999999997</v>
      </c>
      <c r="E24" s="39">
        <v>-92.23</v>
      </c>
      <c r="F24" s="2">
        <v>81</v>
      </c>
      <c r="G24" s="2">
        <v>4</v>
      </c>
      <c r="H24" s="2">
        <v>5.59</v>
      </c>
      <c r="I24" s="2">
        <v>6.37</v>
      </c>
      <c r="J24" s="46">
        <v>4.92</v>
      </c>
      <c r="K24" s="3">
        <v>-6</v>
      </c>
      <c r="L24" s="49">
        <v>1</v>
      </c>
      <c r="M24" s="3"/>
      <c r="N24" s="2" t="s">
        <v>323</v>
      </c>
    </row>
    <row r="25" spans="1:14" x14ac:dyDescent="0.25">
      <c r="A25" s="2" t="s">
        <v>378</v>
      </c>
      <c r="B25" s="2" t="s">
        <v>304</v>
      </c>
      <c r="C25" s="2">
        <v>3103</v>
      </c>
      <c r="D25" s="39">
        <v>35.130000000000003</v>
      </c>
      <c r="E25" s="39">
        <v>-111.67</v>
      </c>
      <c r="F25" s="2">
        <v>2135</v>
      </c>
      <c r="G25" s="2">
        <v>5.62</v>
      </c>
      <c r="H25" s="2">
        <v>6.72</v>
      </c>
      <c r="I25" s="2">
        <v>6.73</v>
      </c>
      <c r="J25" s="46">
        <v>6.09</v>
      </c>
      <c r="K25" s="3">
        <v>-7</v>
      </c>
      <c r="L25" s="49">
        <v>0</v>
      </c>
      <c r="M25" s="3"/>
      <c r="N25" s="2" t="s">
        <v>324</v>
      </c>
    </row>
    <row r="26" spans="1:14" x14ac:dyDescent="0.25">
      <c r="A26" s="2" t="s">
        <v>380</v>
      </c>
      <c r="B26" s="2" t="s">
        <v>304</v>
      </c>
      <c r="C26" s="2">
        <v>23183</v>
      </c>
      <c r="D26" s="39">
        <v>33.43</v>
      </c>
      <c r="E26" s="39">
        <v>-112.02</v>
      </c>
      <c r="F26" s="2">
        <v>339</v>
      </c>
      <c r="G26" s="2">
        <v>5.52</v>
      </c>
      <c r="H26" s="2">
        <v>7.38</v>
      </c>
      <c r="I26" s="2">
        <v>7.76</v>
      </c>
      <c r="J26" s="46">
        <v>6.53</v>
      </c>
      <c r="K26" s="3">
        <v>-7</v>
      </c>
      <c r="L26" s="49">
        <v>0</v>
      </c>
      <c r="M26" s="3"/>
      <c r="N26" s="2" t="s">
        <v>325</v>
      </c>
    </row>
    <row r="27" spans="1:14" x14ac:dyDescent="0.25">
      <c r="A27" s="2" t="s">
        <v>381</v>
      </c>
      <c r="B27" s="2" t="s">
        <v>304</v>
      </c>
      <c r="C27" s="2">
        <v>23184</v>
      </c>
      <c r="D27" s="39">
        <v>34.65</v>
      </c>
      <c r="E27" s="39">
        <v>-112.43</v>
      </c>
      <c r="F27" s="2">
        <v>1531</v>
      </c>
      <c r="G27" s="2">
        <v>5.47</v>
      </c>
      <c r="H27" s="2">
        <v>6.88</v>
      </c>
      <c r="I27" s="2">
        <v>7.12</v>
      </c>
      <c r="J27" s="46">
        <v>6.34</v>
      </c>
      <c r="K27" s="3">
        <v>-7</v>
      </c>
      <c r="L27" s="49">
        <v>0</v>
      </c>
      <c r="M27" s="3"/>
      <c r="N27" s="2" t="s">
        <v>326</v>
      </c>
    </row>
    <row r="28" spans="1:14" x14ac:dyDescent="0.25">
      <c r="A28" s="2" t="s">
        <v>379</v>
      </c>
      <c r="B28" s="2" t="s">
        <v>304</v>
      </c>
      <c r="C28" s="2">
        <v>23160</v>
      </c>
      <c r="D28" s="39">
        <v>32.119999999999997</v>
      </c>
      <c r="E28" s="39">
        <v>-110.93</v>
      </c>
      <c r="F28" s="2">
        <v>779</v>
      </c>
      <c r="G28" s="2">
        <v>5.78</v>
      </c>
      <c r="H28" s="2">
        <v>7.34</v>
      </c>
      <c r="I28" s="2">
        <v>7.36</v>
      </c>
      <c r="J28" s="46">
        <v>6.58</v>
      </c>
      <c r="K28" s="3">
        <v>-7</v>
      </c>
      <c r="L28" s="49">
        <v>0</v>
      </c>
      <c r="M28" s="3"/>
      <c r="N28" s="2" t="s">
        <v>327</v>
      </c>
    </row>
    <row r="29" spans="1:14" x14ac:dyDescent="0.25">
      <c r="A29" s="2" t="s">
        <v>390</v>
      </c>
      <c r="B29" s="2" t="s">
        <v>305</v>
      </c>
      <c r="C29" s="2">
        <v>24283</v>
      </c>
      <c r="D29" s="39">
        <v>40.98</v>
      </c>
      <c r="E29" s="39">
        <v>-124.1</v>
      </c>
      <c r="F29" s="2">
        <v>69</v>
      </c>
      <c r="G29" s="2">
        <v>3.19</v>
      </c>
      <c r="H29" s="2">
        <v>5.21</v>
      </c>
      <c r="I29" s="2">
        <v>5.72</v>
      </c>
      <c r="J29" s="46">
        <v>4.18</v>
      </c>
      <c r="K29" s="3">
        <v>-8</v>
      </c>
      <c r="L29" s="49">
        <v>1</v>
      </c>
      <c r="M29" s="3"/>
      <c r="N29" s="2" t="s">
        <v>328</v>
      </c>
    </row>
    <row r="30" spans="1:14" x14ac:dyDescent="0.25">
      <c r="A30" s="2" t="s">
        <v>383</v>
      </c>
      <c r="B30" s="2" t="s">
        <v>305</v>
      </c>
      <c r="C30" s="2">
        <v>23155</v>
      </c>
      <c r="D30" s="39">
        <v>35.42</v>
      </c>
      <c r="E30" s="39">
        <v>-119.05</v>
      </c>
      <c r="F30" s="2">
        <v>150</v>
      </c>
      <c r="G30" s="2">
        <v>3.72</v>
      </c>
      <c r="H30" s="2">
        <v>6.52</v>
      </c>
      <c r="I30" s="2">
        <v>7.85</v>
      </c>
      <c r="J30" s="46">
        <v>5.83</v>
      </c>
      <c r="K30" s="3">
        <v>-8</v>
      </c>
      <c r="L30" s="49">
        <v>1</v>
      </c>
      <c r="M30" s="3"/>
      <c r="N30" s="2" t="s">
        <v>329</v>
      </c>
    </row>
    <row r="31" spans="1:14" x14ac:dyDescent="0.25">
      <c r="A31" s="2" t="s">
        <v>384</v>
      </c>
      <c r="B31" s="2" t="s">
        <v>305</v>
      </c>
      <c r="C31" s="2">
        <v>23161</v>
      </c>
      <c r="D31" s="39">
        <v>34.869999999999997</v>
      </c>
      <c r="E31" s="39">
        <v>-116.78</v>
      </c>
      <c r="F31" s="2">
        <v>588</v>
      </c>
      <c r="G31" s="2">
        <v>5.72</v>
      </c>
      <c r="H31" s="2">
        <v>7.39</v>
      </c>
      <c r="I31" s="2">
        <v>8.01</v>
      </c>
      <c r="J31" s="46">
        <v>6.79</v>
      </c>
      <c r="K31" s="3">
        <v>-8</v>
      </c>
      <c r="L31" s="49">
        <v>1</v>
      </c>
      <c r="M31" s="3"/>
      <c r="N31" s="2" t="s">
        <v>330</v>
      </c>
    </row>
    <row r="32" spans="1:14" x14ac:dyDescent="0.25">
      <c r="A32" s="2" t="s">
        <v>391</v>
      </c>
      <c r="B32" s="2" t="s">
        <v>305</v>
      </c>
      <c r="C32" s="2">
        <v>93193</v>
      </c>
      <c r="D32" s="39">
        <v>36.770000000000003</v>
      </c>
      <c r="E32" s="39">
        <v>-119.72</v>
      </c>
      <c r="F32" s="2">
        <v>100</v>
      </c>
      <c r="G32" s="2">
        <v>3.44</v>
      </c>
      <c r="H32" s="2">
        <v>6.68</v>
      </c>
      <c r="I32" s="2">
        <v>7.89</v>
      </c>
      <c r="J32" s="46">
        <v>5.75</v>
      </c>
      <c r="K32" s="3">
        <v>-8</v>
      </c>
      <c r="L32" s="49">
        <v>1</v>
      </c>
      <c r="M32" s="3"/>
      <c r="N32" s="2" t="s">
        <v>331</v>
      </c>
    </row>
    <row r="33" spans="1:14" x14ac:dyDescent="0.25">
      <c r="A33" s="2" t="s">
        <v>382</v>
      </c>
      <c r="B33" s="2" t="s">
        <v>305</v>
      </c>
      <c r="C33" s="2">
        <v>23129</v>
      </c>
      <c r="D33" s="39">
        <v>33.82</v>
      </c>
      <c r="E33" s="39">
        <v>-118.15</v>
      </c>
      <c r="F33" s="2">
        <v>17</v>
      </c>
      <c r="G33" s="2">
        <v>4.58</v>
      </c>
      <c r="H33" s="2">
        <v>6.14</v>
      </c>
      <c r="I33" s="2">
        <v>6.96</v>
      </c>
      <c r="J33" s="46">
        <v>5.51</v>
      </c>
      <c r="K33" s="3">
        <v>-8</v>
      </c>
      <c r="L33" s="49">
        <v>1</v>
      </c>
      <c r="M33" s="3"/>
      <c r="N33" s="2" t="s">
        <v>332</v>
      </c>
    </row>
    <row r="34" spans="1:14" x14ac:dyDescent="0.25">
      <c r="A34" s="2" t="s">
        <v>385</v>
      </c>
      <c r="B34" s="2" t="s">
        <v>305</v>
      </c>
      <c r="C34" s="2">
        <v>23174</v>
      </c>
      <c r="D34" s="39">
        <v>33.93</v>
      </c>
      <c r="E34" s="39">
        <v>-118.4</v>
      </c>
      <c r="F34" s="2">
        <v>32</v>
      </c>
      <c r="G34" s="2">
        <v>4.62</v>
      </c>
      <c r="H34" s="2">
        <v>6.17</v>
      </c>
      <c r="I34" s="2">
        <v>6.84</v>
      </c>
      <c r="J34" s="46">
        <v>5.47</v>
      </c>
      <c r="K34" s="3">
        <v>-8</v>
      </c>
      <c r="L34" s="49">
        <v>1</v>
      </c>
      <c r="M34" s="3"/>
      <c r="N34" s="2" t="s">
        <v>333</v>
      </c>
    </row>
    <row r="35" spans="1:14" x14ac:dyDescent="0.25">
      <c r="A35" s="2" t="s">
        <v>387</v>
      </c>
      <c r="B35" s="2" t="s">
        <v>305</v>
      </c>
      <c r="C35" s="2">
        <v>23232</v>
      </c>
      <c r="D35" s="39">
        <v>38.520000000000003</v>
      </c>
      <c r="E35" s="39">
        <v>-121.5</v>
      </c>
      <c r="F35" s="2">
        <v>8</v>
      </c>
      <c r="G35" s="2">
        <v>3.31</v>
      </c>
      <c r="H35" s="2">
        <v>6.36</v>
      </c>
      <c r="I35" s="2">
        <v>7.75</v>
      </c>
      <c r="J35" s="46">
        <v>5.52</v>
      </c>
      <c r="K35" s="3">
        <v>-8</v>
      </c>
      <c r="L35" s="49">
        <v>1</v>
      </c>
      <c r="M35" s="3"/>
      <c r="N35" s="2" t="s">
        <v>334</v>
      </c>
    </row>
    <row r="36" spans="1:14" x14ac:dyDescent="0.25">
      <c r="A36" s="2" t="s">
        <v>386</v>
      </c>
      <c r="B36" s="2" t="s">
        <v>305</v>
      </c>
      <c r="C36" s="2">
        <v>23188</v>
      </c>
      <c r="D36" s="39">
        <v>32.729999999999997</v>
      </c>
      <c r="E36" s="39">
        <v>-117.17</v>
      </c>
      <c r="F36" s="2">
        <v>9</v>
      </c>
      <c r="G36" s="2">
        <v>5.0199999999999996</v>
      </c>
      <c r="H36" s="2">
        <v>6.17</v>
      </c>
      <c r="I36" s="2">
        <v>6.71</v>
      </c>
      <c r="J36" s="46">
        <v>5.77</v>
      </c>
      <c r="K36" s="3">
        <v>-8</v>
      </c>
      <c r="L36" s="49">
        <v>1</v>
      </c>
      <c r="M36" s="3"/>
      <c r="N36" s="2" t="s">
        <v>335</v>
      </c>
    </row>
    <row r="37" spans="1:14" x14ac:dyDescent="0.25">
      <c r="A37" s="2" t="s">
        <v>388</v>
      </c>
      <c r="B37" s="2" t="s">
        <v>305</v>
      </c>
      <c r="C37" s="2">
        <v>23234</v>
      </c>
      <c r="D37" s="39">
        <v>37.619999999999997</v>
      </c>
      <c r="E37" s="39">
        <v>-122.38</v>
      </c>
      <c r="F37" s="2">
        <v>5</v>
      </c>
      <c r="G37" s="2">
        <v>3.79</v>
      </c>
      <c r="H37" s="2">
        <v>6.04</v>
      </c>
      <c r="I37" s="2">
        <v>7.12</v>
      </c>
      <c r="J37" s="46">
        <v>5.31</v>
      </c>
      <c r="K37" s="3">
        <v>-8</v>
      </c>
      <c r="L37" s="49">
        <v>1</v>
      </c>
      <c r="M37" s="3"/>
      <c r="N37" s="2" t="s">
        <v>336</v>
      </c>
    </row>
    <row r="38" spans="1:14" x14ac:dyDescent="0.25">
      <c r="A38" s="2" t="s">
        <v>389</v>
      </c>
      <c r="B38" s="2" t="s">
        <v>305</v>
      </c>
      <c r="C38" s="2">
        <v>23273</v>
      </c>
      <c r="D38" s="39">
        <v>34.9</v>
      </c>
      <c r="E38" s="39">
        <v>-120.45</v>
      </c>
      <c r="F38" s="2">
        <v>72</v>
      </c>
      <c r="G38" s="2">
        <v>4.93</v>
      </c>
      <c r="H38" s="2">
        <v>6.49</v>
      </c>
      <c r="I38" s="2">
        <v>7.3</v>
      </c>
      <c r="J38" s="46">
        <v>5.89</v>
      </c>
      <c r="K38" s="3">
        <v>-8</v>
      </c>
      <c r="L38" s="49">
        <v>1</v>
      </c>
      <c r="M38" s="3"/>
      <c r="N38" s="2" t="s">
        <v>337</v>
      </c>
    </row>
    <row r="39" spans="1:14" x14ac:dyDescent="0.25">
      <c r="A39" s="2" t="s">
        <v>392</v>
      </c>
      <c r="B39" s="2" t="s">
        <v>306</v>
      </c>
      <c r="C39" s="2">
        <v>23061</v>
      </c>
      <c r="D39" s="39">
        <v>37.450000000000003</v>
      </c>
      <c r="E39" s="39">
        <v>-105.87</v>
      </c>
      <c r="F39" s="2">
        <v>2297</v>
      </c>
      <c r="G39" s="2">
        <v>5.99</v>
      </c>
      <c r="H39" s="2">
        <v>6.82</v>
      </c>
      <c r="I39" s="2">
        <v>7.21</v>
      </c>
      <c r="J39" s="46">
        <v>6.4</v>
      </c>
      <c r="K39" s="3">
        <v>-7</v>
      </c>
      <c r="L39" s="49">
        <v>1</v>
      </c>
      <c r="M39" s="3"/>
      <c r="N39" s="2" t="s">
        <v>338</v>
      </c>
    </row>
    <row r="40" spans="1:14" x14ac:dyDescent="0.25">
      <c r="A40" s="2" t="s">
        <v>397</v>
      </c>
      <c r="B40" s="2" t="s">
        <v>306</v>
      </c>
      <c r="C40" s="2">
        <v>94018</v>
      </c>
      <c r="D40" s="39">
        <v>40.020000000000003</v>
      </c>
      <c r="E40" s="39">
        <v>-105.25</v>
      </c>
      <c r="F40" s="2">
        <v>1634</v>
      </c>
      <c r="G40" s="2">
        <v>4.8</v>
      </c>
      <c r="H40" s="2">
        <v>5.98</v>
      </c>
      <c r="I40" s="2">
        <v>6.63</v>
      </c>
      <c r="J40" s="46">
        <v>5.5</v>
      </c>
      <c r="K40" s="3">
        <v>-7</v>
      </c>
      <c r="L40" s="49">
        <v>1</v>
      </c>
      <c r="M40" s="3"/>
      <c r="N40" s="2" t="s">
        <v>339</v>
      </c>
    </row>
    <row r="41" spans="1:14" x14ac:dyDescent="0.25">
      <c r="A41" s="2" t="s">
        <v>395</v>
      </c>
      <c r="B41" s="2" t="s">
        <v>306</v>
      </c>
      <c r="C41" s="2">
        <v>93037</v>
      </c>
      <c r="D41" s="39">
        <v>38.82</v>
      </c>
      <c r="E41" s="39">
        <v>-104.72</v>
      </c>
      <c r="F41" s="2">
        <v>1881</v>
      </c>
      <c r="G41" s="2">
        <v>5</v>
      </c>
      <c r="H41" s="2">
        <v>6.02</v>
      </c>
      <c r="I41" s="2">
        <v>6.66</v>
      </c>
      <c r="J41" s="46">
        <v>5.7</v>
      </c>
      <c r="K41" s="3">
        <v>-7</v>
      </c>
      <c r="L41" s="49">
        <v>1</v>
      </c>
      <c r="M41" s="3"/>
      <c r="N41" s="2" t="s">
        <v>340</v>
      </c>
    </row>
    <row r="42" spans="1:14" x14ac:dyDescent="0.25">
      <c r="A42" s="2" t="s">
        <v>393</v>
      </c>
      <c r="B42" s="2" t="s">
        <v>306</v>
      </c>
      <c r="C42" s="2">
        <v>23063</v>
      </c>
      <c r="D42" s="39">
        <v>39.65</v>
      </c>
      <c r="E42" s="39">
        <v>-106.92</v>
      </c>
      <c r="F42" s="2">
        <v>1985</v>
      </c>
      <c r="G42" s="2">
        <v>4.71</v>
      </c>
      <c r="H42" s="2">
        <v>6.02</v>
      </c>
      <c r="I42" s="2">
        <v>6.87</v>
      </c>
      <c r="J42" s="46">
        <v>5.48</v>
      </c>
      <c r="K42" s="3">
        <v>-7</v>
      </c>
      <c r="L42" s="49">
        <v>1</v>
      </c>
      <c r="M42" s="3"/>
      <c r="N42" s="2" t="s">
        <v>341</v>
      </c>
    </row>
    <row r="43" spans="1:14" x14ac:dyDescent="0.25">
      <c r="A43" s="2" t="s">
        <v>394</v>
      </c>
      <c r="B43" s="2" t="s">
        <v>306</v>
      </c>
      <c r="C43" s="2">
        <v>23066</v>
      </c>
      <c r="D43" s="39">
        <v>39.119999999999997</v>
      </c>
      <c r="E43" s="39">
        <v>-108.53</v>
      </c>
      <c r="F43" s="2">
        <v>1475</v>
      </c>
      <c r="G43" s="2">
        <v>4.8</v>
      </c>
      <c r="H43" s="2">
        <v>6.42</v>
      </c>
      <c r="I43" s="2">
        <v>7.34</v>
      </c>
      <c r="J43" s="46">
        <v>5.83</v>
      </c>
      <c r="K43" s="3">
        <v>-7</v>
      </c>
      <c r="L43" s="49">
        <v>1</v>
      </c>
      <c r="M43" s="3"/>
      <c r="N43" s="2" t="s">
        <v>342</v>
      </c>
    </row>
    <row r="44" spans="1:14" x14ac:dyDescent="0.25">
      <c r="A44" s="2" t="s">
        <v>396</v>
      </c>
      <c r="B44" s="2" t="s">
        <v>306</v>
      </c>
      <c r="C44" s="2">
        <v>93058</v>
      </c>
      <c r="D44" s="39">
        <v>38.28</v>
      </c>
      <c r="E44" s="39">
        <v>-104.52</v>
      </c>
      <c r="F44" s="2">
        <v>1439</v>
      </c>
      <c r="G44" s="2">
        <v>5.19</v>
      </c>
      <c r="H44" s="2">
        <v>6.4</v>
      </c>
      <c r="I44" s="2">
        <v>7.15</v>
      </c>
      <c r="J44" s="46">
        <v>5.95</v>
      </c>
      <c r="K44" s="3">
        <v>-7</v>
      </c>
      <c r="L44" s="49">
        <v>1</v>
      </c>
      <c r="M44" s="3"/>
      <c r="N44" s="2" t="s">
        <v>343</v>
      </c>
    </row>
    <row r="45" spans="1:14" x14ac:dyDescent="0.25">
      <c r="A45" s="2" t="s">
        <v>399</v>
      </c>
      <c r="B45" s="2" t="s">
        <v>307</v>
      </c>
      <c r="C45" s="2">
        <v>94702</v>
      </c>
      <c r="D45" s="39">
        <v>41.17</v>
      </c>
      <c r="E45" s="39">
        <v>-73.13</v>
      </c>
      <c r="F45" s="2">
        <v>2</v>
      </c>
      <c r="G45" s="2">
        <v>3.45</v>
      </c>
      <c r="H45" s="2">
        <v>5.04</v>
      </c>
      <c r="I45" s="2">
        <v>5.73</v>
      </c>
      <c r="J45" s="46">
        <v>4.18</v>
      </c>
      <c r="K45" s="3">
        <v>-5</v>
      </c>
      <c r="L45" s="49">
        <v>1</v>
      </c>
      <c r="M45" s="3"/>
      <c r="N45" s="2" t="s">
        <v>344</v>
      </c>
    </row>
    <row r="46" spans="1:14" x14ac:dyDescent="0.25">
      <c r="A46" s="2" t="s">
        <v>398</v>
      </c>
      <c r="B46" s="2" t="s">
        <v>307</v>
      </c>
      <c r="C46" s="2">
        <v>14740</v>
      </c>
      <c r="D46" s="39">
        <v>41.93</v>
      </c>
      <c r="E46" s="39">
        <v>-72.680000000000007</v>
      </c>
      <c r="F46" s="2">
        <v>55</v>
      </c>
      <c r="G46" s="2">
        <v>3.45</v>
      </c>
      <c r="H46" s="2">
        <v>5.03</v>
      </c>
      <c r="I46" s="2">
        <v>5.73</v>
      </c>
      <c r="J46" s="46">
        <v>4</v>
      </c>
      <c r="K46" s="3">
        <v>-5</v>
      </c>
      <c r="L46" s="49">
        <v>1</v>
      </c>
      <c r="M46" s="3"/>
      <c r="N46" s="2" t="s">
        <v>345</v>
      </c>
    </row>
    <row r="47" spans="1:14" x14ac:dyDescent="0.25">
      <c r="A47" s="2" t="s">
        <v>400</v>
      </c>
      <c r="B47" s="2" t="s">
        <v>308</v>
      </c>
      <c r="C47" s="2">
        <v>13781</v>
      </c>
      <c r="D47" s="39">
        <v>39.67</v>
      </c>
      <c r="E47" s="39">
        <v>-75.599999999999994</v>
      </c>
      <c r="F47" s="2">
        <v>24</v>
      </c>
      <c r="G47" s="2">
        <v>3.63</v>
      </c>
      <c r="H47" s="2">
        <v>5.26</v>
      </c>
      <c r="I47" s="2">
        <v>6.02</v>
      </c>
      <c r="J47" s="46">
        <v>4.43</v>
      </c>
      <c r="K47" s="3">
        <v>-5</v>
      </c>
      <c r="L47" s="49">
        <v>1</v>
      </c>
      <c r="M47" s="3"/>
      <c r="N47" s="2" t="s">
        <v>346</v>
      </c>
    </row>
    <row r="48" spans="1:14" x14ac:dyDescent="0.25">
      <c r="A48" s="2" t="s">
        <v>401</v>
      </c>
      <c r="B48" s="2" t="s">
        <v>309</v>
      </c>
      <c r="C48" s="2">
        <v>12834</v>
      </c>
      <c r="D48" s="39">
        <v>29.18</v>
      </c>
      <c r="E48" s="39">
        <v>-81.05</v>
      </c>
      <c r="F48" s="2">
        <v>12</v>
      </c>
      <c r="G48" s="2">
        <v>4.51</v>
      </c>
      <c r="H48" s="2">
        <v>6.15</v>
      </c>
      <c r="I48" s="2">
        <v>5.97</v>
      </c>
      <c r="J48" s="46">
        <v>5.09</v>
      </c>
      <c r="K48" s="3">
        <v>-5</v>
      </c>
      <c r="L48" s="49">
        <v>1</v>
      </c>
      <c r="M48" s="3"/>
      <c r="N48" s="2" t="s">
        <v>347</v>
      </c>
    </row>
    <row r="49" spans="1:14" x14ac:dyDescent="0.25">
      <c r="A49" s="2" t="s">
        <v>406</v>
      </c>
      <c r="B49" s="2" t="s">
        <v>309</v>
      </c>
      <c r="C49" s="2">
        <v>13889</v>
      </c>
      <c r="D49" s="39">
        <v>30.5</v>
      </c>
      <c r="E49" s="39">
        <v>-81.7</v>
      </c>
      <c r="F49" s="2">
        <v>9</v>
      </c>
      <c r="G49" s="2">
        <v>4.33</v>
      </c>
      <c r="H49" s="2">
        <v>5.89</v>
      </c>
      <c r="I49" s="2">
        <v>5.78</v>
      </c>
      <c r="J49" s="46">
        <v>4.8600000000000003</v>
      </c>
      <c r="K49" s="3">
        <v>-5</v>
      </c>
      <c r="L49" s="49">
        <v>1</v>
      </c>
      <c r="M49" s="3"/>
      <c r="N49" s="2" t="s">
        <v>348</v>
      </c>
    </row>
    <row r="50" spans="1:14" x14ac:dyDescent="0.25">
      <c r="A50" s="2" t="s">
        <v>402</v>
      </c>
      <c r="B50" s="2" t="s">
        <v>309</v>
      </c>
      <c r="C50" s="2">
        <v>12836</v>
      </c>
      <c r="D50" s="39">
        <v>24.55</v>
      </c>
      <c r="E50" s="39">
        <v>-81.75</v>
      </c>
      <c r="F50" s="2">
        <v>1</v>
      </c>
      <c r="G50" s="2">
        <v>5.0999999999999996</v>
      </c>
      <c r="H50" s="2">
        <v>6.28</v>
      </c>
      <c r="I50" s="2">
        <v>6.03</v>
      </c>
      <c r="J50" s="46">
        <v>5.42</v>
      </c>
      <c r="K50" s="3">
        <v>-5</v>
      </c>
      <c r="L50" s="49">
        <v>1</v>
      </c>
      <c r="M50" s="3"/>
      <c r="N50" s="2" t="s">
        <v>349</v>
      </c>
    </row>
    <row r="51" spans="1:14" x14ac:dyDescent="0.25">
      <c r="A51" s="2" t="s">
        <v>403</v>
      </c>
      <c r="B51" s="2" t="s">
        <v>309</v>
      </c>
      <c r="C51" s="2">
        <v>12839</v>
      </c>
      <c r="D51" s="39">
        <v>25.8</v>
      </c>
      <c r="E51" s="39">
        <v>-80.27</v>
      </c>
      <c r="F51" s="2">
        <v>2</v>
      </c>
      <c r="G51" s="2">
        <v>4.83</v>
      </c>
      <c r="H51" s="2">
        <v>5.92</v>
      </c>
      <c r="I51" s="2">
        <v>5.68</v>
      </c>
      <c r="J51" s="46">
        <v>5.0599999999999996</v>
      </c>
      <c r="K51" s="3">
        <v>-5</v>
      </c>
      <c r="L51" s="49">
        <v>1</v>
      </c>
      <c r="M51" s="3"/>
      <c r="N51" s="2" t="s">
        <v>350</v>
      </c>
    </row>
    <row r="52" spans="1:14" x14ac:dyDescent="0.25">
      <c r="A52" s="2" t="s">
        <v>407</v>
      </c>
      <c r="B52" s="2" t="s">
        <v>309</v>
      </c>
      <c r="C52" s="2">
        <v>93805</v>
      </c>
      <c r="D52" s="39">
        <v>30.38</v>
      </c>
      <c r="E52" s="39">
        <v>-84.37</v>
      </c>
      <c r="F52" s="2">
        <v>21</v>
      </c>
      <c r="G52" s="2">
        <v>4.29</v>
      </c>
      <c r="H52" s="2">
        <v>5.91</v>
      </c>
      <c r="I52" s="2">
        <v>5.84</v>
      </c>
      <c r="J52" s="46">
        <v>5.21</v>
      </c>
      <c r="K52" s="3">
        <v>-5</v>
      </c>
      <c r="L52" s="49">
        <v>1</v>
      </c>
      <c r="M52" s="3"/>
      <c r="N52" s="2" t="s">
        <v>351</v>
      </c>
    </row>
    <row r="53" spans="1:14" x14ac:dyDescent="0.25">
      <c r="A53" s="2" t="s">
        <v>404</v>
      </c>
      <c r="B53" s="2" t="s">
        <v>309</v>
      </c>
      <c r="C53" s="2">
        <v>12842</v>
      </c>
      <c r="D53" s="39">
        <v>27.97</v>
      </c>
      <c r="E53" s="39">
        <v>-82.53</v>
      </c>
      <c r="F53" s="2">
        <v>3</v>
      </c>
      <c r="G53" s="2">
        <v>4.71</v>
      </c>
      <c r="H53" s="2">
        <v>6.16</v>
      </c>
      <c r="I53" s="2">
        <v>5.81</v>
      </c>
      <c r="J53" s="46">
        <v>5.28</v>
      </c>
      <c r="K53" s="3">
        <v>-5</v>
      </c>
      <c r="L53" s="49">
        <v>1</v>
      </c>
      <c r="M53" s="3"/>
      <c r="N53" s="2" t="s">
        <v>352</v>
      </c>
    </row>
    <row r="54" spans="1:14" x14ac:dyDescent="0.25">
      <c r="A54" s="2" t="s">
        <v>405</v>
      </c>
      <c r="B54" s="2" t="s">
        <v>309</v>
      </c>
      <c r="C54" s="2">
        <v>12844</v>
      </c>
      <c r="D54" s="39">
        <v>26.68</v>
      </c>
      <c r="E54" s="39">
        <v>-80.099999999999994</v>
      </c>
      <c r="F54" s="2">
        <v>6</v>
      </c>
      <c r="G54" s="2">
        <v>4.5999999999999996</v>
      </c>
      <c r="H54" s="2">
        <v>5.86</v>
      </c>
      <c r="I54" s="2">
        <v>5.73</v>
      </c>
      <c r="J54" s="46">
        <v>4.95</v>
      </c>
      <c r="K54" s="3">
        <v>-5</v>
      </c>
      <c r="L54" s="49">
        <v>1</v>
      </c>
      <c r="M54" s="3"/>
      <c r="N54" s="2"/>
    </row>
    <row r="55" spans="1:14" x14ac:dyDescent="0.25">
      <c r="A55" s="2" t="s">
        <v>411</v>
      </c>
      <c r="B55" s="2" t="s">
        <v>310</v>
      </c>
      <c r="C55" s="2">
        <v>13873</v>
      </c>
      <c r="D55" s="39">
        <v>33.950000000000003</v>
      </c>
      <c r="E55" s="39">
        <v>-83.32</v>
      </c>
      <c r="F55" s="2">
        <v>244</v>
      </c>
      <c r="G55" s="2">
        <v>4.16</v>
      </c>
      <c r="H55" s="2">
        <v>5.76</v>
      </c>
      <c r="I55" s="2">
        <v>6.07</v>
      </c>
      <c r="J55" s="46">
        <v>5.04</v>
      </c>
      <c r="K55" s="3">
        <v>-5</v>
      </c>
      <c r="L55" s="49">
        <v>1</v>
      </c>
      <c r="M55" s="3"/>
      <c r="N55" s="2"/>
    </row>
    <row r="56" spans="1:14" x14ac:dyDescent="0.25">
      <c r="A56" s="2" t="s">
        <v>412</v>
      </c>
      <c r="B56" s="2" t="s">
        <v>310</v>
      </c>
      <c r="C56" s="2">
        <v>13874</v>
      </c>
      <c r="D56" s="39">
        <v>33.65</v>
      </c>
      <c r="E56" s="39">
        <v>-84.43</v>
      </c>
      <c r="F56" s="2">
        <v>315</v>
      </c>
      <c r="G56" s="2">
        <v>4.08</v>
      </c>
      <c r="H56" s="2">
        <v>5.8</v>
      </c>
      <c r="I56" s="2">
        <v>6.17</v>
      </c>
      <c r="J56" s="46">
        <v>5.04</v>
      </c>
      <c r="K56" s="3">
        <v>-5</v>
      </c>
      <c r="L56" s="49">
        <v>1</v>
      </c>
      <c r="M56" s="3"/>
      <c r="N56" s="2"/>
    </row>
    <row r="57" spans="1:14" x14ac:dyDescent="0.25">
      <c r="A57" s="2" t="s">
        <v>409</v>
      </c>
      <c r="B57" s="2" t="s">
        <v>310</v>
      </c>
      <c r="C57" s="2">
        <v>3820</v>
      </c>
      <c r="D57" s="39">
        <v>33.369999999999997</v>
      </c>
      <c r="E57" s="39">
        <v>-81.97</v>
      </c>
      <c r="F57" s="2">
        <v>45</v>
      </c>
      <c r="G57" s="2">
        <v>4.2</v>
      </c>
      <c r="H57" s="2">
        <v>5.8</v>
      </c>
      <c r="I57" s="2">
        <v>6.04</v>
      </c>
      <c r="J57" s="46">
        <v>5.05</v>
      </c>
      <c r="K57" s="3">
        <v>-5</v>
      </c>
      <c r="L57" s="49">
        <v>1</v>
      </c>
      <c r="M57" s="3"/>
      <c r="N57" s="2"/>
    </row>
    <row r="58" spans="1:14" x14ac:dyDescent="0.25">
      <c r="A58" s="2" t="s">
        <v>413</v>
      </c>
      <c r="B58" s="2" t="s">
        <v>310</v>
      </c>
      <c r="C58" s="2">
        <v>93842</v>
      </c>
      <c r="D58" s="39">
        <v>32.520000000000003</v>
      </c>
      <c r="E58" s="39">
        <v>-84.95</v>
      </c>
      <c r="F58" s="2">
        <v>136</v>
      </c>
      <c r="G58" s="2">
        <v>4.2</v>
      </c>
      <c r="H58" s="2">
        <v>5.85</v>
      </c>
      <c r="I58" s="2">
        <v>6.04</v>
      </c>
      <c r="J58" s="46">
        <v>5.13</v>
      </c>
      <c r="K58" s="3">
        <v>-5</v>
      </c>
      <c r="L58" s="49">
        <v>1</v>
      </c>
      <c r="M58" s="3"/>
      <c r="N58" s="2"/>
    </row>
    <row r="59" spans="1:14" x14ac:dyDescent="0.25">
      <c r="A59" s="2" t="s">
        <v>408</v>
      </c>
      <c r="B59" s="2" t="s">
        <v>310</v>
      </c>
      <c r="C59" s="2">
        <v>3813</v>
      </c>
      <c r="D59" s="39">
        <v>32.700000000000003</v>
      </c>
      <c r="E59" s="39">
        <v>-83.65</v>
      </c>
      <c r="F59" s="2">
        <v>110</v>
      </c>
      <c r="G59" s="2">
        <v>4.17</v>
      </c>
      <c r="H59" s="2">
        <v>5.84</v>
      </c>
      <c r="I59" s="2">
        <v>6.03</v>
      </c>
      <c r="J59" s="46">
        <v>5.08</v>
      </c>
      <c r="K59" s="3">
        <v>-5</v>
      </c>
      <c r="L59" s="49">
        <v>1</v>
      </c>
      <c r="M59" s="3"/>
      <c r="N59" s="2"/>
    </row>
    <row r="60" spans="1:14" x14ac:dyDescent="0.25">
      <c r="A60" s="2" t="s">
        <v>410</v>
      </c>
      <c r="B60" s="2" t="s">
        <v>310</v>
      </c>
      <c r="C60" s="2">
        <v>3822</v>
      </c>
      <c r="D60" s="39">
        <v>32.130000000000003</v>
      </c>
      <c r="E60" s="39">
        <v>-81.2</v>
      </c>
      <c r="F60" s="2">
        <v>16</v>
      </c>
      <c r="G60" s="2">
        <v>4.25</v>
      </c>
      <c r="H60" s="2">
        <v>5.91</v>
      </c>
      <c r="I60" s="2">
        <v>5.97</v>
      </c>
      <c r="J60" s="46">
        <v>4.99</v>
      </c>
      <c r="K60" s="3">
        <v>-5</v>
      </c>
      <c r="L60" s="49">
        <v>1</v>
      </c>
      <c r="M60" s="3"/>
      <c r="N60" s="2"/>
    </row>
    <row r="61" spans="1:14" x14ac:dyDescent="0.25">
      <c r="A61" s="2" t="s">
        <v>414</v>
      </c>
      <c r="B61" s="2" t="s">
        <v>311</v>
      </c>
      <c r="C61" s="2">
        <v>21504</v>
      </c>
      <c r="D61" s="39">
        <v>19.72</v>
      </c>
      <c r="E61" s="39">
        <v>-155.07</v>
      </c>
      <c r="F61" s="2">
        <v>11</v>
      </c>
      <c r="G61" s="2">
        <v>4.51</v>
      </c>
      <c r="H61" s="2">
        <v>4.91</v>
      </c>
      <c r="I61" s="2">
        <v>5.29</v>
      </c>
      <c r="J61" s="46">
        <v>4.84</v>
      </c>
      <c r="K61" s="3">
        <v>-10</v>
      </c>
      <c r="L61" s="49">
        <v>1</v>
      </c>
      <c r="M61" s="3"/>
      <c r="N61" s="2"/>
    </row>
    <row r="62" spans="1:14" x14ac:dyDescent="0.25">
      <c r="A62" s="2" t="s">
        <v>416</v>
      </c>
      <c r="B62" s="2" t="s">
        <v>311</v>
      </c>
      <c r="C62" s="2">
        <v>22521</v>
      </c>
      <c r="D62" s="39">
        <v>21.33</v>
      </c>
      <c r="E62" s="39">
        <v>-157.91999999999999</v>
      </c>
      <c r="F62" s="2">
        <v>5</v>
      </c>
      <c r="G62" s="2">
        <v>5.1100000000000003</v>
      </c>
      <c r="H62" s="2">
        <v>6.02</v>
      </c>
      <c r="I62" s="2">
        <v>6.54</v>
      </c>
      <c r="J62" s="46">
        <v>5.8</v>
      </c>
      <c r="K62" s="3">
        <v>-10</v>
      </c>
      <c r="L62" s="49">
        <v>0</v>
      </c>
      <c r="M62" s="3"/>
      <c r="N62" s="2"/>
    </row>
    <row r="63" spans="1:14" x14ac:dyDescent="0.25">
      <c r="A63" s="2" t="s">
        <v>415</v>
      </c>
      <c r="B63" s="2" t="s">
        <v>311</v>
      </c>
      <c r="C63" s="2">
        <v>22516</v>
      </c>
      <c r="D63" s="39">
        <v>20.9</v>
      </c>
      <c r="E63" s="39">
        <v>-156.43</v>
      </c>
      <c r="F63" s="2">
        <v>15</v>
      </c>
      <c r="G63" s="2">
        <v>5.28</v>
      </c>
      <c r="H63" s="2">
        <v>6.04</v>
      </c>
      <c r="I63" s="2">
        <v>6.62</v>
      </c>
      <c r="J63" s="46">
        <v>5.99</v>
      </c>
      <c r="K63" s="3">
        <v>-10</v>
      </c>
      <c r="L63" s="49">
        <v>0</v>
      </c>
      <c r="M63" s="3"/>
      <c r="N63" s="2"/>
    </row>
    <row r="64" spans="1:14" x14ac:dyDescent="0.25">
      <c r="A64" s="2" t="s">
        <v>417</v>
      </c>
      <c r="B64" s="2" t="s">
        <v>311</v>
      </c>
      <c r="C64" s="2">
        <v>22536</v>
      </c>
      <c r="D64" s="39">
        <v>21.98</v>
      </c>
      <c r="E64" s="39">
        <v>-159.35</v>
      </c>
      <c r="F64" s="2">
        <v>45</v>
      </c>
      <c r="G64" s="2">
        <v>4.7300000000000004</v>
      </c>
      <c r="H64" s="2">
        <v>5.48</v>
      </c>
      <c r="I64" s="2">
        <v>6</v>
      </c>
      <c r="J64" s="46">
        <v>5.38</v>
      </c>
      <c r="K64" s="3">
        <v>-10</v>
      </c>
      <c r="L64" s="49">
        <v>0</v>
      </c>
      <c r="M64" s="3"/>
      <c r="N64" s="2"/>
    </row>
    <row r="65" spans="1:14" x14ac:dyDescent="0.25">
      <c r="A65" s="2" t="s">
        <v>418</v>
      </c>
      <c r="B65" s="2" t="s">
        <v>312</v>
      </c>
      <c r="C65" s="2">
        <v>14933</v>
      </c>
      <c r="D65" s="39">
        <v>41.53</v>
      </c>
      <c r="E65" s="39">
        <v>-93.65</v>
      </c>
      <c r="F65" s="2">
        <v>294</v>
      </c>
      <c r="G65" s="2">
        <v>3.79</v>
      </c>
      <c r="H65" s="2">
        <v>5.31</v>
      </c>
      <c r="I65" s="2">
        <v>6.34</v>
      </c>
      <c r="J65" s="46">
        <v>4.5199999999999996</v>
      </c>
      <c r="K65" s="3">
        <v>-6</v>
      </c>
      <c r="L65" s="49">
        <v>1</v>
      </c>
      <c r="M65" s="3"/>
      <c r="N65" s="2"/>
    </row>
    <row r="66" spans="1:14" x14ac:dyDescent="0.25">
      <c r="A66" s="2" t="s">
        <v>419</v>
      </c>
      <c r="B66" s="2" t="s">
        <v>312</v>
      </c>
      <c r="C66" s="2">
        <v>14940</v>
      </c>
      <c r="D66" s="39">
        <v>43.15</v>
      </c>
      <c r="E66" s="39">
        <v>-93.33</v>
      </c>
      <c r="F66" s="2">
        <v>373</v>
      </c>
      <c r="G66" s="2">
        <v>3.69</v>
      </c>
      <c r="H66" s="2">
        <v>5.24</v>
      </c>
      <c r="I66" s="2">
        <v>6.17</v>
      </c>
      <c r="J66" s="46">
        <v>4.25</v>
      </c>
      <c r="K66" s="3">
        <v>-6</v>
      </c>
      <c r="L66" s="49">
        <v>1</v>
      </c>
      <c r="M66" s="3"/>
      <c r="N66" s="2"/>
    </row>
    <row r="67" spans="1:14" x14ac:dyDescent="0.25">
      <c r="A67" s="2" t="s">
        <v>420</v>
      </c>
      <c r="B67" s="2" t="s">
        <v>312</v>
      </c>
      <c r="C67" s="2">
        <v>14943</v>
      </c>
      <c r="D67" s="39">
        <v>42.4</v>
      </c>
      <c r="E67" s="39">
        <v>-96.38</v>
      </c>
      <c r="F67" s="2">
        <v>336</v>
      </c>
      <c r="G67" s="2">
        <v>3.79</v>
      </c>
      <c r="H67" s="2">
        <v>5.4</v>
      </c>
      <c r="I67" s="2">
        <v>6.38</v>
      </c>
      <c r="J67" s="46">
        <v>4.51</v>
      </c>
      <c r="K67" s="3">
        <v>-6</v>
      </c>
      <c r="L67" s="49">
        <v>1</v>
      </c>
      <c r="M67" s="3"/>
      <c r="N67" s="2"/>
    </row>
    <row r="68" spans="1:14" x14ac:dyDescent="0.25">
      <c r="A68" s="2" t="s">
        <v>421</v>
      </c>
      <c r="B68" s="2" t="s">
        <v>312</v>
      </c>
      <c r="C68" s="2">
        <v>94910</v>
      </c>
      <c r="D68" s="39">
        <v>42.55</v>
      </c>
      <c r="E68" s="39">
        <v>-92.4</v>
      </c>
      <c r="F68" s="2">
        <v>265</v>
      </c>
      <c r="G68" s="2">
        <v>3.62</v>
      </c>
      <c r="H68" s="2">
        <v>5.16</v>
      </c>
      <c r="I68" s="2">
        <v>6.16</v>
      </c>
      <c r="J68" s="46">
        <v>4.18</v>
      </c>
      <c r="K68" s="3">
        <v>-6</v>
      </c>
      <c r="L68" s="49">
        <v>1</v>
      </c>
      <c r="M68" s="3"/>
      <c r="N68" s="2"/>
    </row>
    <row r="69" spans="1:14" x14ac:dyDescent="0.25">
      <c r="A69" s="2" t="s">
        <v>422</v>
      </c>
      <c r="B69" s="2" t="s">
        <v>313</v>
      </c>
      <c r="C69" s="2">
        <v>24131</v>
      </c>
      <c r="D69" s="39">
        <v>43.57</v>
      </c>
      <c r="E69" s="39">
        <v>-116.22</v>
      </c>
      <c r="F69" s="2">
        <v>874</v>
      </c>
      <c r="G69" s="2">
        <v>3.13</v>
      </c>
      <c r="H69" s="2">
        <v>5.82</v>
      </c>
      <c r="I69" s="2">
        <v>7.32</v>
      </c>
      <c r="J69" s="46">
        <v>5.03</v>
      </c>
      <c r="K69" s="3">
        <v>-7</v>
      </c>
      <c r="L69" s="49">
        <v>1</v>
      </c>
      <c r="M69" s="3"/>
      <c r="N69" s="2"/>
    </row>
    <row r="70" spans="1:14" x14ac:dyDescent="0.25">
      <c r="A70" s="2" t="s">
        <v>423</v>
      </c>
      <c r="B70" s="2" t="s">
        <v>313</v>
      </c>
      <c r="C70" s="2">
        <v>24156</v>
      </c>
      <c r="D70" s="39">
        <v>42.92</v>
      </c>
      <c r="E70" s="39">
        <v>-112.6</v>
      </c>
      <c r="F70" s="2">
        <v>1365</v>
      </c>
      <c r="G70" s="2">
        <v>3.23</v>
      </c>
      <c r="H70" s="2">
        <v>5.6</v>
      </c>
      <c r="I70" s="2">
        <v>7.03</v>
      </c>
      <c r="J70" s="46">
        <v>4.9800000000000004</v>
      </c>
      <c r="K70" s="3">
        <v>-7</v>
      </c>
      <c r="L70" s="49">
        <v>1</v>
      </c>
      <c r="M70" s="3"/>
      <c r="N70" s="2"/>
    </row>
    <row r="71" spans="1:14" x14ac:dyDescent="0.25">
      <c r="A71" s="2" t="s">
        <v>428</v>
      </c>
      <c r="B71" s="2" t="s">
        <v>314</v>
      </c>
      <c r="C71" s="2">
        <v>94846</v>
      </c>
      <c r="D71" s="39">
        <v>41.78</v>
      </c>
      <c r="E71" s="39">
        <v>-87.75</v>
      </c>
      <c r="F71" s="2">
        <v>190</v>
      </c>
      <c r="G71" s="2">
        <v>3.21</v>
      </c>
      <c r="H71" s="2">
        <v>4.99</v>
      </c>
      <c r="I71" s="2">
        <v>6.02</v>
      </c>
      <c r="J71" s="46">
        <v>3.99</v>
      </c>
      <c r="K71" s="3">
        <v>-6</v>
      </c>
      <c r="L71" s="49">
        <v>1</v>
      </c>
      <c r="M71" s="3"/>
      <c r="N71" s="2"/>
    </row>
    <row r="72" spans="1:14" x14ac:dyDescent="0.25">
      <c r="A72" s="2" t="s">
        <v>425</v>
      </c>
      <c r="B72" s="2" t="s">
        <v>314</v>
      </c>
      <c r="C72" s="2">
        <v>14923</v>
      </c>
      <c r="D72" s="39">
        <v>41.45</v>
      </c>
      <c r="E72" s="39">
        <v>-90.52</v>
      </c>
      <c r="F72" s="2">
        <v>181</v>
      </c>
      <c r="G72" s="2">
        <v>3.51</v>
      </c>
      <c r="H72" s="2">
        <v>5.1100000000000003</v>
      </c>
      <c r="I72" s="2">
        <v>6.17</v>
      </c>
      <c r="J72" s="46">
        <v>4.3099999999999996</v>
      </c>
      <c r="K72" s="3">
        <v>-6</v>
      </c>
      <c r="L72" s="49">
        <v>1</v>
      </c>
      <c r="M72" s="3"/>
      <c r="N72" s="2"/>
    </row>
    <row r="73" spans="1:14" x14ac:dyDescent="0.25">
      <c r="A73" s="2" t="s">
        <v>424</v>
      </c>
      <c r="B73" s="2" t="s">
        <v>314</v>
      </c>
      <c r="C73" s="2">
        <v>14842</v>
      </c>
      <c r="D73" s="39">
        <v>40.67</v>
      </c>
      <c r="E73" s="39">
        <v>-89.68</v>
      </c>
      <c r="F73" s="2">
        <v>199</v>
      </c>
      <c r="G73" s="2">
        <v>3.49</v>
      </c>
      <c r="H73" s="2">
        <v>5.1100000000000003</v>
      </c>
      <c r="I73" s="2">
        <v>6.19</v>
      </c>
      <c r="J73" s="46">
        <v>4.3600000000000003</v>
      </c>
      <c r="K73" s="3">
        <v>-6</v>
      </c>
      <c r="L73" s="49">
        <v>1</v>
      </c>
      <c r="M73" s="3"/>
      <c r="N73" s="2"/>
    </row>
    <row r="74" spans="1:14" x14ac:dyDescent="0.25">
      <c r="A74" s="2" t="s">
        <v>427</v>
      </c>
      <c r="B74" s="2" t="s">
        <v>314</v>
      </c>
      <c r="C74" s="2">
        <v>94822</v>
      </c>
      <c r="D74" s="39">
        <v>42.2</v>
      </c>
      <c r="E74" s="39">
        <v>-89.1</v>
      </c>
      <c r="F74" s="2">
        <v>221</v>
      </c>
      <c r="G74" s="2">
        <v>3.5</v>
      </c>
      <c r="H74" s="2">
        <v>5.05</v>
      </c>
      <c r="I74" s="2">
        <v>6.04</v>
      </c>
      <c r="J74" s="46">
        <v>4.08</v>
      </c>
      <c r="K74" s="3">
        <v>-6</v>
      </c>
      <c r="L74" s="49">
        <v>1</v>
      </c>
      <c r="M74" s="3"/>
      <c r="N74" s="2"/>
    </row>
    <row r="75" spans="1:14" x14ac:dyDescent="0.25">
      <c r="A75" s="2" t="s">
        <v>426</v>
      </c>
      <c r="B75" s="2" t="s">
        <v>314</v>
      </c>
      <c r="C75" s="2">
        <v>93822</v>
      </c>
      <c r="D75" s="39">
        <v>39.83</v>
      </c>
      <c r="E75" s="39">
        <v>-89.67</v>
      </c>
      <c r="F75" s="2">
        <v>187</v>
      </c>
      <c r="G75" s="2">
        <v>3.67</v>
      </c>
      <c r="H75" s="2">
        <v>5.3</v>
      </c>
      <c r="I75" s="2">
        <v>6.33</v>
      </c>
      <c r="J75" s="46">
        <v>4.59</v>
      </c>
      <c r="K75" s="3">
        <v>-6</v>
      </c>
      <c r="L75" s="49">
        <v>1</v>
      </c>
      <c r="M75" s="3"/>
      <c r="N75" s="2"/>
    </row>
    <row r="76" spans="1:14" x14ac:dyDescent="0.25">
      <c r="A76" s="2" t="s">
        <v>431</v>
      </c>
      <c r="B76" s="2" t="s">
        <v>315</v>
      </c>
      <c r="C76" s="2">
        <v>93817</v>
      </c>
      <c r="D76" s="39">
        <v>38.049999999999997</v>
      </c>
      <c r="E76" s="39">
        <v>-87.53</v>
      </c>
      <c r="F76" s="2">
        <v>118</v>
      </c>
      <c r="G76" s="2">
        <v>3.44</v>
      </c>
      <c r="H76" s="2">
        <v>5.28</v>
      </c>
      <c r="I76" s="2">
        <v>6.27</v>
      </c>
      <c r="J76" s="46">
        <v>4.59</v>
      </c>
      <c r="K76" s="3">
        <v>-6</v>
      </c>
      <c r="L76" s="49">
        <v>1</v>
      </c>
      <c r="M76" s="3"/>
      <c r="N76" s="2"/>
    </row>
    <row r="77" spans="1:14" x14ac:dyDescent="0.25">
      <c r="A77" s="2" t="s">
        <v>429</v>
      </c>
      <c r="B77" s="2" t="s">
        <v>315</v>
      </c>
      <c r="C77" s="2">
        <v>14827</v>
      </c>
      <c r="D77" s="39">
        <v>41</v>
      </c>
      <c r="E77" s="39">
        <v>-85.2</v>
      </c>
      <c r="F77" s="2">
        <v>252</v>
      </c>
      <c r="G77" s="2">
        <v>2.96</v>
      </c>
      <c r="H77" s="2">
        <v>4.95</v>
      </c>
      <c r="I77" s="2">
        <v>5.98</v>
      </c>
      <c r="J77" s="46">
        <v>3.98</v>
      </c>
      <c r="K77" s="3">
        <v>-5</v>
      </c>
      <c r="L77" s="49">
        <v>1</v>
      </c>
      <c r="M77" s="3"/>
      <c r="N77" s="2"/>
    </row>
    <row r="78" spans="1:14" x14ac:dyDescent="0.25">
      <c r="A78" s="2" t="s">
        <v>432</v>
      </c>
      <c r="B78" s="2" t="s">
        <v>315</v>
      </c>
      <c r="C78" s="2">
        <v>93819</v>
      </c>
      <c r="D78" s="39">
        <v>39.729999999999997</v>
      </c>
      <c r="E78" s="39">
        <v>-86.28</v>
      </c>
      <c r="F78" s="2">
        <v>246</v>
      </c>
      <c r="G78" s="2">
        <v>3.26</v>
      </c>
      <c r="H78" s="2">
        <v>5.17</v>
      </c>
      <c r="I78" s="2">
        <v>6.22</v>
      </c>
      <c r="J78" s="46">
        <v>4.33</v>
      </c>
      <c r="K78" s="3">
        <v>-5</v>
      </c>
      <c r="L78" s="49">
        <v>1</v>
      </c>
      <c r="M78" s="3"/>
      <c r="N78" s="2"/>
    </row>
    <row r="79" spans="1:14" x14ac:dyDescent="0.25">
      <c r="A79" s="2" t="s">
        <v>430</v>
      </c>
      <c r="B79" s="2" t="s">
        <v>315</v>
      </c>
      <c r="C79" s="2">
        <v>14848</v>
      </c>
      <c r="D79" s="39">
        <v>41.7</v>
      </c>
      <c r="E79" s="39">
        <v>-86.32</v>
      </c>
      <c r="F79" s="2">
        <v>236</v>
      </c>
      <c r="G79" s="2">
        <v>2.8</v>
      </c>
      <c r="H79" s="2">
        <v>4.92</v>
      </c>
      <c r="I79" s="2">
        <v>5.94</v>
      </c>
      <c r="J79" s="46">
        <v>3.77</v>
      </c>
      <c r="K79" s="3">
        <v>-5</v>
      </c>
      <c r="L79" s="49">
        <v>1</v>
      </c>
      <c r="M79" s="3"/>
      <c r="N79" s="2"/>
    </row>
    <row r="80" spans="1:14" x14ac:dyDescent="0.25">
      <c r="A80" s="2" t="s">
        <v>434</v>
      </c>
      <c r="B80" s="2" t="s">
        <v>316</v>
      </c>
      <c r="C80" s="2">
        <v>13985</v>
      </c>
      <c r="D80" s="39">
        <v>37.770000000000003</v>
      </c>
      <c r="E80" s="39">
        <v>-99.97</v>
      </c>
      <c r="F80" s="2">
        <v>787</v>
      </c>
      <c r="G80" s="2">
        <v>4.91</v>
      </c>
      <c r="H80" s="2">
        <v>6.19</v>
      </c>
      <c r="I80" s="2">
        <v>6.98</v>
      </c>
      <c r="J80" s="46">
        <v>5.49</v>
      </c>
      <c r="K80" s="3">
        <v>-6</v>
      </c>
      <c r="L80" s="49">
        <v>1</v>
      </c>
      <c r="M80" s="3"/>
      <c r="N80" s="2"/>
    </row>
    <row r="81" spans="1:14" x14ac:dyDescent="0.25">
      <c r="A81" s="2" t="s">
        <v>436</v>
      </c>
      <c r="B81" s="2" t="s">
        <v>316</v>
      </c>
      <c r="C81" s="2">
        <v>23065</v>
      </c>
      <c r="D81" s="39">
        <v>39.369999999999997</v>
      </c>
      <c r="E81" s="39">
        <v>-101.7</v>
      </c>
      <c r="F81" s="2">
        <v>1124</v>
      </c>
      <c r="G81" s="2">
        <v>4.84</v>
      </c>
      <c r="H81" s="2">
        <v>6.08</v>
      </c>
      <c r="I81" s="2">
        <v>6.97</v>
      </c>
      <c r="J81" s="46">
        <v>5.56</v>
      </c>
      <c r="K81" s="3">
        <v>-6</v>
      </c>
      <c r="L81" s="49">
        <v>1</v>
      </c>
      <c r="M81" s="3"/>
      <c r="N81" s="2"/>
    </row>
    <row r="82" spans="1:14" x14ac:dyDescent="0.25">
      <c r="A82" s="2" t="s">
        <v>435</v>
      </c>
      <c r="B82" s="2" t="s">
        <v>316</v>
      </c>
      <c r="C82" s="2">
        <v>13996</v>
      </c>
      <c r="D82" s="39">
        <v>39.07</v>
      </c>
      <c r="E82" s="39">
        <v>-95.63</v>
      </c>
      <c r="F82" s="2">
        <v>270</v>
      </c>
      <c r="G82" s="2">
        <v>4.04</v>
      </c>
      <c r="H82" s="2">
        <v>5.42</v>
      </c>
      <c r="I82" s="2">
        <v>6.37</v>
      </c>
      <c r="J82" s="46">
        <v>4.7699999999999996</v>
      </c>
      <c r="K82" s="3">
        <v>-6</v>
      </c>
      <c r="L82" s="49">
        <v>1</v>
      </c>
      <c r="M82" s="3"/>
      <c r="N82" s="2"/>
    </row>
    <row r="83" spans="1:14" x14ac:dyDescent="0.25">
      <c r="A83" s="2" t="s">
        <v>433</v>
      </c>
      <c r="B83" s="2" t="s">
        <v>316</v>
      </c>
      <c r="C83" s="2">
        <v>3928</v>
      </c>
      <c r="D83" s="39">
        <v>37.65</v>
      </c>
      <c r="E83" s="39">
        <v>-97.42</v>
      </c>
      <c r="F83" s="2">
        <v>408</v>
      </c>
      <c r="G83" s="2">
        <v>4.37</v>
      </c>
      <c r="H83" s="2">
        <v>5.7</v>
      </c>
      <c r="I83" s="2">
        <v>6.63</v>
      </c>
      <c r="J83" s="46">
        <v>5.08</v>
      </c>
      <c r="K83" s="3">
        <v>-6</v>
      </c>
      <c r="L83" s="49">
        <v>1</v>
      </c>
      <c r="M83" s="3"/>
      <c r="N83" s="2"/>
    </row>
    <row r="84" spans="1:14" x14ac:dyDescent="0.25">
      <c r="A84" s="2" t="s">
        <v>437</v>
      </c>
      <c r="B84" s="2" t="s">
        <v>317</v>
      </c>
      <c r="C84" s="2">
        <v>93814</v>
      </c>
      <c r="D84" s="39">
        <v>39.07</v>
      </c>
      <c r="E84" s="39">
        <v>-84.67</v>
      </c>
      <c r="F84" s="2">
        <v>271</v>
      </c>
      <c r="G84" s="2">
        <v>3.15</v>
      </c>
      <c r="H84" s="2">
        <v>5.04</v>
      </c>
      <c r="I84" s="2">
        <v>6</v>
      </c>
      <c r="J84" s="46">
        <v>4.28</v>
      </c>
      <c r="K84" s="3">
        <v>-5</v>
      </c>
      <c r="L84" s="49">
        <v>1</v>
      </c>
      <c r="M84" s="3"/>
      <c r="N84" s="2"/>
    </row>
    <row r="85" spans="1:14" x14ac:dyDescent="0.25">
      <c r="A85" s="2" t="s">
        <v>438</v>
      </c>
      <c r="B85" s="2" t="s">
        <v>317</v>
      </c>
      <c r="C85" s="2">
        <v>93820</v>
      </c>
      <c r="D85" s="39">
        <v>38.03</v>
      </c>
      <c r="E85" s="39">
        <v>-84.6</v>
      </c>
      <c r="F85" s="2">
        <v>301</v>
      </c>
      <c r="G85" s="2">
        <v>3.22</v>
      </c>
      <c r="H85" s="2">
        <v>5.12</v>
      </c>
      <c r="I85" s="2">
        <v>5.95</v>
      </c>
      <c r="J85" s="46">
        <v>4.3499999999999996</v>
      </c>
      <c r="K85" s="3">
        <v>-5</v>
      </c>
      <c r="L85" s="49">
        <v>1</v>
      </c>
      <c r="M85" s="3"/>
      <c r="N85" s="2"/>
    </row>
    <row r="86" spans="1:14" x14ac:dyDescent="0.25">
      <c r="A86" s="2" t="s">
        <v>439</v>
      </c>
      <c r="B86" s="2" t="s">
        <v>317</v>
      </c>
      <c r="C86" s="2">
        <v>93821</v>
      </c>
      <c r="D86" s="39">
        <v>38.18</v>
      </c>
      <c r="E86" s="39">
        <v>-85.73</v>
      </c>
      <c r="F86" s="2">
        <v>149</v>
      </c>
      <c r="G86" s="2">
        <v>3.31</v>
      </c>
      <c r="H86" s="2">
        <v>5.2</v>
      </c>
      <c r="I86" s="2">
        <v>6.09</v>
      </c>
      <c r="J86" s="46">
        <v>4.43</v>
      </c>
      <c r="K86" s="3">
        <v>-5</v>
      </c>
      <c r="L86" s="49">
        <v>1</v>
      </c>
      <c r="M86" s="3"/>
      <c r="N86" s="2"/>
    </row>
    <row r="87" spans="1:14" x14ac:dyDescent="0.25">
      <c r="A87" s="2" t="s">
        <v>443</v>
      </c>
      <c r="B87" s="2" t="s">
        <v>318</v>
      </c>
      <c r="C87" s="2">
        <v>13970</v>
      </c>
      <c r="D87" s="39">
        <v>30.53</v>
      </c>
      <c r="E87" s="39">
        <v>-91.15</v>
      </c>
      <c r="F87" s="2">
        <v>23</v>
      </c>
      <c r="G87" s="2">
        <v>3.87</v>
      </c>
      <c r="H87" s="2">
        <v>5.48</v>
      </c>
      <c r="I87" s="2">
        <v>5.77</v>
      </c>
      <c r="J87" s="46">
        <v>5</v>
      </c>
      <c r="K87" s="3">
        <v>-6</v>
      </c>
      <c r="L87" s="49">
        <v>1</v>
      </c>
      <c r="M87" s="3"/>
      <c r="N87" s="2"/>
    </row>
    <row r="88" spans="1:14" x14ac:dyDescent="0.25">
      <c r="A88" s="2" t="s">
        <v>440</v>
      </c>
      <c r="B88" s="2" t="s">
        <v>318</v>
      </c>
      <c r="C88" s="2">
        <v>3937</v>
      </c>
      <c r="D88" s="39">
        <v>30.12</v>
      </c>
      <c r="E88" s="39">
        <v>-93.22</v>
      </c>
      <c r="F88" s="2">
        <v>3</v>
      </c>
      <c r="G88" s="2">
        <v>3.95</v>
      </c>
      <c r="H88" s="2">
        <v>5.51</v>
      </c>
      <c r="I88" s="2">
        <v>6.02</v>
      </c>
      <c r="J88" s="46">
        <v>5.14</v>
      </c>
      <c r="K88" s="3">
        <v>-6</v>
      </c>
      <c r="L88" s="49">
        <v>1</v>
      </c>
      <c r="M88" s="3"/>
      <c r="N88" s="2"/>
    </row>
    <row r="89" spans="1:14" x14ac:dyDescent="0.25">
      <c r="A89" s="2" t="s">
        <v>441</v>
      </c>
      <c r="B89" s="2" t="s">
        <v>318</v>
      </c>
      <c r="C89" s="2">
        <v>12916</v>
      </c>
      <c r="D89" s="39">
        <v>29.98</v>
      </c>
      <c r="E89" s="39">
        <v>-90.25</v>
      </c>
      <c r="F89" s="2">
        <v>3</v>
      </c>
      <c r="G89" s="2">
        <v>3.97</v>
      </c>
      <c r="H89" s="2">
        <v>5.6</v>
      </c>
      <c r="I89" s="2">
        <v>5.8</v>
      </c>
      <c r="J89" s="46">
        <v>5.08</v>
      </c>
      <c r="K89" s="3">
        <v>-6</v>
      </c>
      <c r="L89" s="49">
        <v>1</v>
      </c>
      <c r="M89" s="3"/>
      <c r="N89" s="2"/>
    </row>
    <row r="90" spans="1:14" x14ac:dyDescent="0.25">
      <c r="A90" s="2" t="s">
        <v>442</v>
      </c>
      <c r="B90" s="2" t="s">
        <v>318</v>
      </c>
      <c r="C90" s="2">
        <v>13957</v>
      </c>
      <c r="D90" s="39">
        <v>32.47</v>
      </c>
      <c r="E90" s="39">
        <v>-93.82</v>
      </c>
      <c r="F90" s="2">
        <v>79</v>
      </c>
      <c r="G90" s="2">
        <v>4.03</v>
      </c>
      <c r="H90" s="2">
        <v>5.55</v>
      </c>
      <c r="I90" s="2">
        <v>6.34</v>
      </c>
      <c r="J90" s="46">
        <v>5.08</v>
      </c>
      <c r="K90" s="3">
        <v>-6</v>
      </c>
      <c r="L90" s="49">
        <v>1</v>
      </c>
      <c r="M90" s="3"/>
      <c r="N90" s="2"/>
    </row>
    <row r="91" spans="1:14" x14ac:dyDescent="0.25">
      <c r="A91" s="2" t="s">
        <v>444</v>
      </c>
      <c r="B91" s="2" t="s">
        <v>319</v>
      </c>
      <c r="C91" s="2">
        <v>14739</v>
      </c>
      <c r="D91" s="39">
        <v>42.37</v>
      </c>
      <c r="E91" s="39">
        <v>-71.03</v>
      </c>
      <c r="F91" s="2">
        <v>5</v>
      </c>
      <c r="G91" s="2">
        <v>3.61</v>
      </c>
      <c r="H91" s="2">
        <v>5.19</v>
      </c>
      <c r="I91" s="2">
        <v>5.96</v>
      </c>
      <c r="J91" s="46">
        <v>4.24</v>
      </c>
      <c r="K91" s="3">
        <v>-5</v>
      </c>
      <c r="L91" s="49">
        <v>1</v>
      </c>
      <c r="M91" s="3"/>
      <c r="N91" s="2"/>
    </row>
    <row r="92" spans="1:14" x14ac:dyDescent="0.25">
      <c r="A92" s="2" t="s">
        <v>445</v>
      </c>
      <c r="B92" s="2" t="s">
        <v>319</v>
      </c>
      <c r="C92" s="2">
        <v>94746</v>
      </c>
      <c r="D92" s="39">
        <v>42.27</v>
      </c>
      <c r="E92" s="39">
        <v>-71.87</v>
      </c>
      <c r="F92" s="2">
        <v>301</v>
      </c>
      <c r="G92" s="2">
        <v>3.61</v>
      </c>
      <c r="H92" s="2">
        <v>5.14</v>
      </c>
      <c r="I92" s="2">
        <v>5.81</v>
      </c>
      <c r="J92" s="46">
        <v>4.13</v>
      </c>
      <c r="K92" s="3">
        <v>-5</v>
      </c>
      <c r="L92" s="49">
        <v>1</v>
      </c>
      <c r="M92" s="3"/>
      <c r="N92" s="2"/>
    </row>
    <row r="93" spans="1:14" x14ac:dyDescent="0.25">
      <c r="A93" s="2" t="s">
        <v>446</v>
      </c>
      <c r="B93" s="2" t="s">
        <v>320</v>
      </c>
      <c r="C93" s="2">
        <v>93721</v>
      </c>
      <c r="D93" s="39">
        <v>39.18</v>
      </c>
      <c r="E93" s="39">
        <v>-76.67</v>
      </c>
      <c r="F93" s="2">
        <v>47</v>
      </c>
      <c r="G93" s="2">
        <v>3.67</v>
      </c>
      <c r="H93" s="2">
        <v>5.23</v>
      </c>
      <c r="I93" s="2">
        <v>5.92</v>
      </c>
      <c r="J93" s="46">
        <v>4.47</v>
      </c>
      <c r="K93" s="3">
        <v>-5</v>
      </c>
      <c r="L93" s="49">
        <v>1</v>
      </c>
      <c r="M93" s="3"/>
      <c r="N93" s="2"/>
    </row>
    <row r="94" spans="1:14" x14ac:dyDescent="0.25">
      <c r="A94" s="2" t="s">
        <v>447</v>
      </c>
      <c r="B94" s="2" t="s">
        <v>321</v>
      </c>
      <c r="C94" s="2">
        <v>14607</v>
      </c>
      <c r="D94" s="39">
        <v>46.87</v>
      </c>
      <c r="E94" s="39">
        <v>-68.02</v>
      </c>
      <c r="F94" s="2">
        <v>190</v>
      </c>
      <c r="G94" s="2">
        <v>3.54</v>
      </c>
      <c r="H94" s="2">
        <v>5.2</v>
      </c>
      <c r="I94" s="2">
        <v>5.51</v>
      </c>
      <c r="J94" s="46">
        <v>3.36</v>
      </c>
      <c r="K94" s="3">
        <v>-5</v>
      </c>
      <c r="L94" s="49">
        <v>1</v>
      </c>
      <c r="M94" s="3"/>
      <c r="N94" s="2"/>
    </row>
    <row r="95" spans="1:14" x14ac:dyDescent="0.25">
      <c r="A95" s="2" t="s">
        <v>448</v>
      </c>
      <c r="B95" s="2" t="s">
        <v>321</v>
      </c>
      <c r="C95" s="2">
        <v>14764</v>
      </c>
      <c r="D95" s="39">
        <v>43.65</v>
      </c>
      <c r="E95" s="39">
        <v>-70.319999999999993</v>
      </c>
      <c r="F95" s="2">
        <v>19</v>
      </c>
      <c r="G95" s="2">
        <v>3.9</v>
      </c>
      <c r="H95" s="2">
        <v>5.28</v>
      </c>
      <c r="I95" s="2">
        <v>5.95</v>
      </c>
      <c r="J95" s="46">
        <v>4.21</v>
      </c>
      <c r="K95" s="3">
        <v>-5</v>
      </c>
      <c r="L95" s="49">
        <v>1</v>
      </c>
      <c r="M95" s="3"/>
      <c r="N95" s="2"/>
    </row>
    <row r="96" spans="1:14" x14ac:dyDescent="0.25">
      <c r="A96" s="2" t="s">
        <v>456</v>
      </c>
      <c r="B96" s="2" t="s">
        <v>322</v>
      </c>
      <c r="C96" s="2">
        <v>94849</v>
      </c>
      <c r="D96" s="39">
        <v>45.07</v>
      </c>
      <c r="E96" s="39">
        <v>-83.57</v>
      </c>
      <c r="F96" s="2">
        <v>210</v>
      </c>
      <c r="G96" s="2">
        <v>3.01</v>
      </c>
      <c r="H96" s="2">
        <v>5.31</v>
      </c>
      <c r="I96" s="2">
        <v>5.93</v>
      </c>
      <c r="J96" s="46">
        <v>3.44</v>
      </c>
      <c r="K96" s="3">
        <v>-5</v>
      </c>
      <c r="L96" s="49">
        <v>1</v>
      </c>
      <c r="M96" s="3"/>
      <c r="N96" s="2"/>
    </row>
    <row r="97" spans="1:14" x14ac:dyDescent="0.25">
      <c r="A97" s="2" t="s">
        <v>455</v>
      </c>
      <c r="B97" s="2" t="s">
        <v>322</v>
      </c>
      <c r="C97" s="2">
        <v>94847</v>
      </c>
      <c r="D97" s="39">
        <v>42.42</v>
      </c>
      <c r="E97" s="39">
        <v>-83.02</v>
      </c>
      <c r="F97" s="2">
        <v>191</v>
      </c>
      <c r="G97" s="2">
        <v>2.85</v>
      </c>
      <c r="H97" s="2">
        <v>4.9800000000000004</v>
      </c>
      <c r="I97" s="2">
        <v>5.97</v>
      </c>
      <c r="J97" s="46">
        <v>3.79</v>
      </c>
      <c r="K97" s="3">
        <v>-5</v>
      </c>
      <c r="L97" s="49">
        <v>1</v>
      </c>
      <c r="M97" s="3"/>
      <c r="N97" s="2"/>
    </row>
    <row r="98" spans="1:14" x14ac:dyDescent="0.25">
      <c r="A98" s="2" t="s">
        <v>449</v>
      </c>
      <c r="B98" s="2" t="s">
        <v>322</v>
      </c>
      <c r="C98" s="2">
        <v>14826</v>
      </c>
      <c r="D98" s="39">
        <v>42.97</v>
      </c>
      <c r="E98" s="39">
        <v>-83.73</v>
      </c>
      <c r="F98" s="2">
        <v>233</v>
      </c>
      <c r="G98" s="2">
        <v>2.8</v>
      </c>
      <c r="H98" s="2">
        <v>4.9400000000000004</v>
      </c>
      <c r="I98" s="2">
        <v>5.88</v>
      </c>
      <c r="J98" s="46">
        <v>3.63</v>
      </c>
      <c r="K98" s="3">
        <v>-5</v>
      </c>
      <c r="L98" s="49">
        <v>1</v>
      </c>
      <c r="M98" s="3"/>
      <c r="N98" s="2"/>
    </row>
    <row r="99" spans="1:14" x14ac:dyDescent="0.25">
      <c r="A99" s="2" t="s">
        <v>457</v>
      </c>
      <c r="B99" s="2" t="s">
        <v>322</v>
      </c>
      <c r="C99" s="2">
        <v>94860</v>
      </c>
      <c r="D99" s="39">
        <v>42.88</v>
      </c>
      <c r="E99" s="39">
        <v>-85.52</v>
      </c>
      <c r="F99" s="2">
        <v>245</v>
      </c>
      <c r="G99" s="2">
        <v>2.73</v>
      </c>
      <c r="H99" s="2">
        <v>5.0599999999999996</v>
      </c>
      <c r="I99" s="2">
        <v>6.05</v>
      </c>
      <c r="J99" s="46">
        <v>3.67</v>
      </c>
      <c r="K99" s="3">
        <v>-5</v>
      </c>
      <c r="L99" s="49">
        <v>1</v>
      </c>
      <c r="M99" s="3"/>
      <c r="N99" s="2"/>
    </row>
    <row r="100" spans="1:14" x14ac:dyDescent="0.25">
      <c r="A100" s="2" t="s">
        <v>454</v>
      </c>
      <c r="B100" s="2" t="s">
        <v>322</v>
      </c>
      <c r="C100" s="2">
        <v>94814</v>
      </c>
      <c r="D100" s="39">
        <v>47.17</v>
      </c>
      <c r="E100" s="39">
        <v>-88.5</v>
      </c>
      <c r="F100" s="2">
        <v>329</v>
      </c>
      <c r="G100" s="2">
        <v>2.63</v>
      </c>
      <c r="H100" s="2">
        <v>5.19</v>
      </c>
      <c r="I100" s="2">
        <v>5.83</v>
      </c>
      <c r="J100" s="46">
        <v>3.31</v>
      </c>
      <c r="K100" s="3">
        <v>-5</v>
      </c>
      <c r="L100" s="49">
        <v>1</v>
      </c>
      <c r="M100" s="3"/>
      <c r="N100" s="2"/>
    </row>
    <row r="101" spans="1:14" x14ac:dyDescent="0.25">
      <c r="A101" s="2" t="s">
        <v>450</v>
      </c>
      <c r="B101" s="2" t="s">
        <v>322</v>
      </c>
      <c r="C101" s="2">
        <v>14836</v>
      </c>
      <c r="D101" s="39">
        <v>42.78</v>
      </c>
      <c r="E101" s="39">
        <v>-84.6</v>
      </c>
      <c r="F101" s="2">
        <v>256</v>
      </c>
      <c r="G101" s="2">
        <v>2.82</v>
      </c>
      <c r="H101" s="2">
        <v>5</v>
      </c>
      <c r="I101" s="2">
        <v>5.93</v>
      </c>
      <c r="J101" s="46">
        <v>3.67</v>
      </c>
      <c r="K101" s="3">
        <v>-5</v>
      </c>
      <c r="L101" s="49">
        <v>1</v>
      </c>
      <c r="M101" s="3"/>
      <c r="N101" s="2"/>
    </row>
    <row r="102" spans="1:14" x14ac:dyDescent="0.25">
      <c r="A102" s="2" t="s">
        <v>451</v>
      </c>
      <c r="B102" s="2" t="s">
        <v>322</v>
      </c>
      <c r="C102" s="2">
        <v>14840</v>
      </c>
      <c r="D102" s="39">
        <v>43.17</v>
      </c>
      <c r="E102" s="39">
        <v>-86.25</v>
      </c>
      <c r="F102" s="2">
        <v>191</v>
      </c>
      <c r="G102" s="2">
        <v>2.46</v>
      </c>
      <c r="H102" s="2">
        <v>5.17</v>
      </c>
      <c r="I102" s="2">
        <v>6.22</v>
      </c>
      <c r="J102" s="46">
        <v>3.6</v>
      </c>
      <c r="K102" s="3">
        <v>-5</v>
      </c>
      <c r="L102" s="49">
        <v>1</v>
      </c>
      <c r="M102" s="3"/>
      <c r="N102" s="2"/>
    </row>
    <row r="103" spans="1:14" x14ac:dyDescent="0.25">
      <c r="A103" s="2" t="s">
        <v>452</v>
      </c>
      <c r="B103" s="2" t="s">
        <v>322</v>
      </c>
      <c r="C103" s="2">
        <v>14847</v>
      </c>
      <c r="D103" s="39">
        <v>46.47</v>
      </c>
      <c r="E103" s="39">
        <v>-84.37</v>
      </c>
      <c r="F103" s="2">
        <v>221</v>
      </c>
      <c r="G103" s="2">
        <v>3.16</v>
      </c>
      <c r="H103" s="2">
        <v>5.5</v>
      </c>
      <c r="I103" s="2">
        <v>5.82</v>
      </c>
      <c r="J103" s="46">
        <v>3.15</v>
      </c>
      <c r="K103" s="3">
        <v>-5</v>
      </c>
      <c r="L103" s="49">
        <v>1</v>
      </c>
      <c r="M103" s="3"/>
      <c r="N103" s="2"/>
    </row>
    <row r="104" spans="1:14" x14ac:dyDescent="0.25">
      <c r="A104" s="2" t="s">
        <v>453</v>
      </c>
      <c r="B104" s="2" t="s">
        <v>322</v>
      </c>
      <c r="C104" s="2">
        <v>14850</v>
      </c>
      <c r="D104" s="39">
        <v>44.73</v>
      </c>
      <c r="E104" s="39">
        <v>-85.58</v>
      </c>
      <c r="F104" s="2">
        <v>192</v>
      </c>
      <c r="G104" s="2">
        <v>2.56</v>
      </c>
      <c r="H104" s="2">
        <v>5.1100000000000003</v>
      </c>
      <c r="I104" s="2">
        <v>5.88</v>
      </c>
      <c r="J104" s="46">
        <v>3.3</v>
      </c>
      <c r="K104" s="3">
        <v>-5</v>
      </c>
      <c r="L104" s="49">
        <v>1</v>
      </c>
      <c r="M104" s="3"/>
      <c r="N104" s="2"/>
    </row>
    <row r="105" spans="1:14" x14ac:dyDescent="0.25">
      <c r="A105" s="2" t="s">
        <v>458</v>
      </c>
      <c r="B105" s="2" t="s">
        <v>323</v>
      </c>
      <c r="C105" s="2">
        <v>14913</v>
      </c>
      <c r="D105" s="39">
        <v>46.83</v>
      </c>
      <c r="E105" s="39">
        <v>-92.18</v>
      </c>
      <c r="F105" s="2">
        <v>432</v>
      </c>
      <c r="G105" s="2">
        <v>3.55</v>
      </c>
      <c r="H105" s="2">
        <v>5.47</v>
      </c>
      <c r="I105" s="2">
        <v>5.85</v>
      </c>
      <c r="J105" s="46">
        <v>3.6</v>
      </c>
      <c r="K105" s="3">
        <v>-6</v>
      </c>
      <c r="L105" s="49">
        <v>1</v>
      </c>
      <c r="M105" s="3"/>
      <c r="N105" s="2"/>
    </row>
    <row r="106" spans="1:14" x14ac:dyDescent="0.25">
      <c r="A106" s="2" t="s">
        <v>459</v>
      </c>
      <c r="B106" s="2" t="s">
        <v>323</v>
      </c>
      <c r="C106" s="2">
        <v>14918</v>
      </c>
      <c r="D106" s="39">
        <v>48.57</v>
      </c>
      <c r="E106" s="39">
        <v>-93.38</v>
      </c>
      <c r="F106" s="2">
        <v>361</v>
      </c>
      <c r="G106" s="2">
        <v>3.41</v>
      </c>
      <c r="H106" s="2">
        <v>5.41</v>
      </c>
      <c r="I106" s="2">
        <v>5.67</v>
      </c>
      <c r="J106" s="46">
        <v>3.29</v>
      </c>
      <c r="K106" s="3">
        <v>-6</v>
      </c>
      <c r="L106" s="49">
        <v>1</v>
      </c>
      <c r="M106" s="3"/>
      <c r="N106" s="2"/>
    </row>
    <row r="107" spans="1:14" x14ac:dyDescent="0.25">
      <c r="A107" s="2" t="s">
        <v>460</v>
      </c>
      <c r="B107" s="2" t="s">
        <v>323</v>
      </c>
      <c r="C107" s="2">
        <v>14922</v>
      </c>
      <c r="D107" s="39">
        <v>44.88</v>
      </c>
      <c r="E107" s="39">
        <v>-93.22</v>
      </c>
      <c r="F107" s="2">
        <v>255</v>
      </c>
      <c r="G107" s="2">
        <v>3.73</v>
      </c>
      <c r="H107" s="2">
        <v>5.34</v>
      </c>
      <c r="I107" s="2">
        <v>6.14</v>
      </c>
      <c r="J107" s="46">
        <v>4.04</v>
      </c>
      <c r="K107" s="3">
        <v>-6</v>
      </c>
      <c r="L107" s="49">
        <v>1</v>
      </c>
      <c r="M107" s="3"/>
      <c r="N107" s="2"/>
    </row>
    <row r="108" spans="1:14" x14ac:dyDescent="0.25">
      <c r="A108" s="2" t="s">
        <v>461</v>
      </c>
      <c r="B108" s="2" t="s">
        <v>323</v>
      </c>
      <c r="C108" s="2">
        <v>14925</v>
      </c>
      <c r="D108" s="39">
        <v>43.92</v>
      </c>
      <c r="E108" s="39">
        <v>-92.5</v>
      </c>
      <c r="F108" s="2">
        <v>402</v>
      </c>
      <c r="G108" s="2">
        <v>3.57</v>
      </c>
      <c r="H108" s="2">
        <v>5.16</v>
      </c>
      <c r="I108" s="2">
        <v>6</v>
      </c>
      <c r="J108" s="46">
        <v>3.96</v>
      </c>
      <c r="K108" s="3">
        <v>-6</v>
      </c>
      <c r="L108" s="49">
        <v>1</v>
      </c>
      <c r="M108" s="3"/>
      <c r="N108" s="2"/>
    </row>
    <row r="109" spans="1:14" x14ac:dyDescent="0.25">
      <c r="A109" s="2" t="s">
        <v>462</v>
      </c>
      <c r="B109" s="2" t="s">
        <v>323</v>
      </c>
      <c r="C109" s="2">
        <v>14926</v>
      </c>
      <c r="D109" s="39">
        <v>45.55</v>
      </c>
      <c r="E109" s="39">
        <v>-94.07</v>
      </c>
      <c r="F109" s="2">
        <v>313</v>
      </c>
      <c r="G109" s="2">
        <v>3.68</v>
      </c>
      <c r="H109" s="2">
        <v>5.35</v>
      </c>
      <c r="I109" s="2">
        <v>6.1</v>
      </c>
      <c r="J109" s="46">
        <v>3.99</v>
      </c>
      <c r="K109" s="3">
        <v>-6</v>
      </c>
      <c r="L109" s="49">
        <v>1</v>
      </c>
      <c r="M109" s="3"/>
      <c r="N109" s="2"/>
    </row>
    <row r="110" spans="1:14" x14ac:dyDescent="0.25">
      <c r="A110" s="2" t="s">
        <v>463</v>
      </c>
      <c r="B110" s="2" t="s">
        <v>324</v>
      </c>
      <c r="C110" s="2">
        <v>3945</v>
      </c>
      <c r="D110" s="39">
        <v>38.82</v>
      </c>
      <c r="E110" s="39">
        <v>-92.22</v>
      </c>
      <c r="F110" s="2">
        <v>270</v>
      </c>
      <c r="G110" s="2">
        <v>3.89</v>
      </c>
      <c r="H110" s="2">
        <v>5.48</v>
      </c>
      <c r="I110" s="2">
        <v>6.45</v>
      </c>
      <c r="J110" s="46">
        <v>4.6900000000000004</v>
      </c>
      <c r="K110" s="3">
        <v>-6</v>
      </c>
      <c r="L110" s="49">
        <v>1</v>
      </c>
      <c r="M110" s="3"/>
      <c r="N110" s="2"/>
    </row>
    <row r="111" spans="1:14" x14ac:dyDescent="0.25">
      <c r="A111" s="2" t="s">
        <v>464</v>
      </c>
      <c r="B111" s="2" t="s">
        <v>324</v>
      </c>
      <c r="C111" s="2">
        <v>3947</v>
      </c>
      <c r="D111" s="39">
        <v>39.299999999999997</v>
      </c>
      <c r="E111" s="39">
        <v>-94.72</v>
      </c>
      <c r="F111" s="2">
        <v>315</v>
      </c>
      <c r="G111" s="2">
        <v>3.94</v>
      </c>
      <c r="H111" s="2">
        <v>5.41</v>
      </c>
      <c r="I111" s="2">
        <v>6.38</v>
      </c>
      <c r="J111" s="46">
        <v>4.8099999999999996</v>
      </c>
      <c r="K111" s="3">
        <v>-6</v>
      </c>
      <c r="L111" s="49">
        <v>1</v>
      </c>
      <c r="M111" s="3"/>
      <c r="N111" s="2"/>
    </row>
    <row r="112" spans="1:14" x14ac:dyDescent="0.25">
      <c r="A112" s="2" t="s">
        <v>466</v>
      </c>
      <c r="B112" s="2" t="s">
        <v>324</v>
      </c>
      <c r="C112" s="2">
        <v>13995</v>
      </c>
      <c r="D112" s="39">
        <v>37.229999999999997</v>
      </c>
      <c r="E112" s="39">
        <v>-93.38</v>
      </c>
      <c r="F112" s="2">
        <v>387</v>
      </c>
      <c r="G112" s="2">
        <v>3.91</v>
      </c>
      <c r="H112" s="2">
        <v>5.45</v>
      </c>
      <c r="I112" s="2">
        <v>6.38</v>
      </c>
      <c r="J112" s="46">
        <v>4.75</v>
      </c>
      <c r="K112" s="3">
        <v>-6</v>
      </c>
      <c r="L112" s="49">
        <v>1</v>
      </c>
      <c r="M112" s="3"/>
      <c r="N112" s="2"/>
    </row>
    <row r="113" spans="1:14" x14ac:dyDescent="0.25">
      <c r="A113" s="2" t="s">
        <v>465</v>
      </c>
      <c r="B113" s="2" t="s">
        <v>324</v>
      </c>
      <c r="C113" s="2">
        <v>13994</v>
      </c>
      <c r="D113" s="39">
        <v>38.75</v>
      </c>
      <c r="E113" s="39">
        <v>-90.38</v>
      </c>
      <c r="F113" s="2">
        <v>172</v>
      </c>
      <c r="G113" s="2">
        <v>3.71</v>
      </c>
      <c r="H113" s="2">
        <v>5.34</v>
      </c>
      <c r="I113" s="2">
        <v>6.25</v>
      </c>
      <c r="J113" s="46">
        <v>4.6100000000000003</v>
      </c>
      <c r="K113" s="3">
        <v>-6</v>
      </c>
      <c r="L113" s="49">
        <v>1</v>
      </c>
      <c r="M113" s="3"/>
      <c r="N113" s="2"/>
    </row>
    <row r="114" spans="1:14" x14ac:dyDescent="0.25">
      <c r="A114" s="2" t="s">
        <v>467</v>
      </c>
      <c r="B114" s="2" t="s">
        <v>325</v>
      </c>
      <c r="C114" s="2">
        <v>3940</v>
      </c>
      <c r="D114" s="39">
        <v>32.32</v>
      </c>
      <c r="E114" s="39">
        <v>-90.08</v>
      </c>
      <c r="F114" s="2">
        <v>101</v>
      </c>
      <c r="G114" s="2">
        <v>3.98</v>
      </c>
      <c r="H114" s="2">
        <v>5.7</v>
      </c>
      <c r="I114" s="2">
        <v>6.17</v>
      </c>
      <c r="J114" s="46">
        <v>5.09</v>
      </c>
      <c r="K114" s="3">
        <v>-6</v>
      </c>
      <c r="L114" s="49">
        <v>1</v>
      </c>
      <c r="M114" s="3"/>
      <c r="N114" s="2"/>
    </row>
    <row r="115" spans="1:14" x14ac:dyDescent="0.25">
      <c r="A115" s="2" t="s">
        <v>468</v>
      </c>
      <c r="B115" s="2" t="s">
        <v>325</v>
      </c>
      <c r="C115" s="2">
        <v>13865</v>
      </c>
      <c r="D115" s="39">
        <v>32.33</v>
      </c>
      <c r="E115" s="39">
        <v>-88.75</v>
      </c>
      <c r="F115" s="2">
        <v>94</v>
      </c>
      <c r="G115" s="2">
        <v>3.88</v>
      </c>
      <c r="H115" s="2">
        <v>5.53</v>
      </c>
      <c r="I115" s="2">
        <v>5.92</v>
      </c>
      <c r="J115" s="46">
        <v>4.93</v>
      </c>
      <c r="K115" s="3">
        <v>-6</v>
      </c>
      <c r="L115" s="49">
        <v>1</v>
      </c>
      <c r="M115" s="3"/>
      <c r="N115" s="2"/>
    </row>
    <row r="116" spans="1:14" x14ac:dyDescent="0.25">
      <c r="A116" s="2" t="s">
        <v>469</v>
      </c>
      <c r="B116" s="2" t="s">
        <v>326</v>
      </c>
      <c r="C116" s="2">
        <v>24033</v>
      </c>
      <c r="D116" s="39">
        <v>45.8</v>
      </c>
      <c r="E116" s="39">
        <v>-108.53</v>
      </c>
      <c r="F116" s="2">
        <v>1088</v>
      </c>
      <c r="G116" s="2">
        <v>3.71</v>
      </c>
      <c r="H116" s="2">
        <v>5.58</v>
      </c>
      <c r="I116" s="2">
        <v>6.8</v>
      </c>
      <c r="J116" s="46">
        <v>4.78</v>
      </c>
      <c r="K116" s="3">
        <v>-7</v>
      </c>
      <c r="L116" s="49">
        <v>1</v>
      </c>
      <c r="M116" s="3"/>
      <c r="N116" s="2"/>
    </row>
    <row r="117" spans="1:14" x14ac:dyDescent="0.25">
      <c r="A117" s="2" t="s">
        <v>472</v>
      </c>
      <c r="B117" s="2" t="s">
        <v>326</v>
      </c>
      <c r="C117" s="2">
        <v>24137</v>
      </c>
      <c r="D117" s="39">
        <v>48.6</v>
      </c>
      <c r="E117" s="39">
        <v>-112.37</v>
      </c>
      <c r="F117" s="2">
        <v>1170</v>
      </c>
      <c r="G117" s="2">
        <v>3.42</v>
      </c>
      <c r="H117" s="2">
        <v>5.57</v>
      </c>
      <c r="I117" s="2">
        <v>6.64</v>
      </c>
      <c r="J117" s="46">
        <v>4.51</v>
      </c>
      <c r="K117" s="3">
        <v>-7</v>
      </c>
      <c r="L117" s="49">
        <v>1</v>
      </c>
      <c r="M117" s="3"/>
      <c r="N117" s="2"/>
    </row>
    <row r="118" spans="1:14" x14ac:dyDescent="0.25">
      <c r="A118" s="2" t="s">
        <v>477</v>
      </c>
      <c r="B118" s="2" t="s">
        <v>326</v>
      </c>
      <c r="C118" s="2">
        <v>94008</v>
      </c>
      <c r="D118" s="39">
        <v>48.22</v>
      </c>
      <c r="E118" s="39">
        <v>-106.62</v>
      </c>
      <c r="F118" s="2">
        <v>700</v>
      </c>
      <c r="G118" s="2">
        <v>3.42</v>
      </c>
      <c r="H118" s="2">
        <v>5.42</v>
      </c>
      <c r="I118" s="2">
        <v>6.51</v>
      </c>
      <c r="J118" s="46">
        <v>4.3</v>
      </c>
      <c r="K118" s="3">
        <v>-7</v>
      </c>
      <c r="L118" s="49">
        <v>1</v>
      </c>
      <c r="M118" s="3"/>
      <c r="N118" s="2"/>
    </row>
    <row r="119" spans="1:14" x14ac:dyDescent="0.25">
      <c r="A119" s="2" t="s">
        <v>473</v>
      </c>
      <c r="B119" s="2" t="s">
        <v>326</v>
      </c>
      <c r="C119" s="2">
        <v>24143</v>
      </c>
      <c r="D119" s="39">
        <v>47.48</v>
      </c>
      <c r="E119" s="39">
        <v>-111.37</v>
      </c>
      <c r="F119" s="2">
        <v>1116</v>
      </c>
      <c r="G119" s="2">
        <v>3.37</v>
      </c>
      <c r="H119" s="2">
        <v>5.51</v>
      </c>
      <c r="I119" s="2">
        <v>6.76</v>
      </c>
      <c r="J119" s="46">
        <v>4.5</v>
      </c>
      <c r="K119" s="3">
        <v>-7</v>
      </c>
      <c r="L119" s="49">
        <v>1</v>
      </c>
      <c r="M119" s="3"/>
      <c r="N119" s="2"/>
    </row>
    <row r="120" spans="1:14" x14ac:dyDescent="0.25">
      <c r="A120" s="2" t="s">
        <v>474</v>
      </c>
      <c r="B120" s="2" t="s">
        <v>326</v>
      </c>
      <c r="C120" s="2">
        <v>24144</v>
      </c>
      <c r="D120" s="39">
        <v>46.6</v>
      </c>
      <c r="E120" s="39">
        <v>-112</v>
      </c>
      <c r="F120" s="2">
        <v>1188</v>
      </c>
      <c r="G120" s="2">
        <v>3.23</v>
      </c>
      <c r="H120" s="2">
        <v>5.35</v>
      </c>
      <c r="I120" s="2">
        <v>6.66</v>
      </c>
      <c r="J120" s="46">
        <v>4.5199999999999996</v>
      </c>
      <c r="K120" s="3">
        <v>-7</v>
      </c>
      <c r="L120" s="49">
        <v>1</v>
      </c>
      <c r="M120" s="3"/>
      <c r="N120" s="2"/>
    </row>
    <row r="121" spans="1:14" x14ac:dyDescent="0.25">
      <c r="A121" s="2" t="s">
        <v>475</v>
      </c>
      <c r="B121" s="2" t="s">
        <v>326</v>
      </c>
      <c r="C121" s="2">
        <v>24146</v>
      </c>
      <c r="D121" s="39">
        <v>48.3</v>
      </c>
      <c r="E121" s="39">
        <v>-114.27</v>
      </c>
      <c r="F121" s="2">
        <v>904</v>
      </c>
      <c r="G121" s="2">
        <v>2.35</v>
      </c>
      <c r="H121" s="2">
        <v>4.84</v>
      </c>
      <c r="I121" s="2">
        <v>6.33</v>
      </c>
      <c r="J121" s="46">
        <v>3.7</v>
      </c>
      <c r="K121" s="3">
        <v>-7</v>
      </c>
      <c r="L121" s="49">
        <v>1</v>
      </c>
      <c r="M121" s="3"/>
      <c r="N121" s="2"/>
    </row>
    <row r="122" spans="1:14" x14ac:dyDescent="0.25">
      <c r="A122" s="2" t="s">
        <v>470</v>
      </c>
      <c r="B122" s="2" t="s">
        <v>326</v>
      </c>
      <c r="C122" s="2">
        <v>24036</v>
      </c>
      <c r="D122" s="39">
        <v>47.05</v>
      </c>
      <c r="E122" s="39">
        <v>-109.45</v>
      </c>
      <c r="F122" s="2">
        <v>1264</v>
      </c>
      <c r="G122" s="2">
        <v>3.34</v>
      </c>
      <c r="H122" s="2">
        <v>5.36</v>
      </c>
      <c r="I122" s="2">
        <v>6.52</v>
      </c>
      <c r="J122" s="46">
        <v>4.43</v>
      </c>
      <c r="K122" s="3">
        <v>-7</v>
      </c>
      <c r="L122" s="49">
        <v>1</v>
      </c>
      <c r="M122" s="3"/>
      <c r="N122" s="2"/>
    </row>
    <row r="123" spans="1:14" x14ac:dyDescent="0.25">
      <c r="A123" s="2" t="s">
        <v>471</v>
      </c>
      <c r="B123" s="2" t="s">
        <v>326</v>
      </c>
      <c r="C123" s="2">
        <v>24037</v>
      </c>
      <c r="D123" s="39">
        <v>46.43</v>
      </c>
      <c r="E123" s="39">
        <v>-105.87</v>
      </c>
      <c r="F123" s="2">
        <v>803</v>
      </c>
      <c r="G123" s="2">
        <v>3.74</v>
      </c>
      <c r="H123" s="2">
        <v>5.61</v>
      </c>
      <c r="I123" s="2">
        <v>6.82</v>
      </c>
      <c r="J123" s="46">
        <v>4.68</v>
      </c>
      <c r="K123" s="3">
        <v>-7</v>
      </c>
      <c r="L123" s="49">
        <v>1</v>
      </c>
      <c r="M123" s="3"/>
      <c r="N123" s="2"/>
    </row>
    <row r="124" spans="1:14" x14ac:dyDescent="0.25">
      <c r="A124" s="2" t="s">
        <v>476</v>
      </c>
      <c r="B124" s="2" t="s">
        <v>326</v>
      </c>
      <c r="C124" s="2">
        <v>24153</v>
      </c>
      <c r="D124" s="39">
        <v>46.92</v>
      </c>
      <c r="E124" s="39">
        <v>-114.08</v>
      </c>
      <c r="F124" s="2">
        <v>972</v>
      </c>
      <c r="G124" s="2">
        <v>2.48</v>
      </c>
      <c r="H124" s="2">
        <v>4.93</v>
      </c>
      <c r="I124" s="2">
        <v>6.53</v>
      </c>
      <c r="J124" s="46">
        <v>3.97</v>
      </c>
      <c r="K124" s="3">
        <v>-7</v>
      </c>
      <c r="L124" s="49">
        <v>1</v>
      </c>
      <c r="M124" s="3"/>
      <c r="N124" s="2"/>
    </row>
    <row r="125" spans="1:14" x14ac:dyDescent="0.25">
      <c r="A125" s="2" t="s">
        <v>478</v>
      </c>
      <c r="B125" s="2" t="s">
        <v>327</v>
      </c>
      <c r="C125" s="2">
        <v>3812</v>
      </c>
      <c r="D125" s="39">
        <v>35.43</v>
      </c>
      <c r="E125" s="39">
        <v>-82.53</v>
      </c>
      <c r="F125" s="2">
        <v>661</v>
      </c>
      <c r="G125" s="2">
        <v>4.16</v>
      </c>
      <c r="H125" s="2">
        <v>5.53</v>
      </c>
      <c r="I125" s="2">
        <v>5.75</v>
      </c>
      <c r="J125" s="46">
        <v>4.79</v>
      </c>
      <c r="K125" s="3">
        <v>-5</v>
      </c>
      <c r="L125" s="49">
        <v>1</v>
      </c>
      <c r="M125" s="3"/>
      <c r="N125" s="2"/>
    </row>
    <row r="126" spans="1:14" x14ac:dyDescent="0.25">
      <c r="A126" s="2" t="s">
        <v>483</v>
      </c>
      <c r="B126" s="2" t="s">
        <v>327</v>
      </c>
      <c r="C126" s="2">
        <v>93729</v>
      </c>
      <c r="D126" s="39">
        <v>35.270000000000003</v>
      </c>
      <c r="E126" s="39">
        <v>-75.55</v>
      </c>
      <c r="F126" s="2">
        <v>2</v>
      </c>
      <c r="G126" s="2">
        <v>4.0599999999999996</v>
      </c>
      <c r="H126" s="2">
        <v>5.79</v>
      </c>
      <c r="I126" s="2">
        <v>6.13</v>
      </c>
      <c r="J126" s="46">
        <v>4.92</v>
      </c>
      <c r="K126" s="3">
        <v>-5</v>
      </c>
      <c r="L126" s="49">
        <v>1</v>
      </c>
      <c r="M126" s="3"/>
      <c r="N126" s="2"/>
    </row>
    <row r="127" spans="1:14" x14ac:dyDescent="0.25">
      <c r="A127" s="2" t="s">
        <v>482</v>
      </c>
      <c r="B127" s="2" t="s">
        <v>327</v>
      </c>
      <c r="C127" s="2">
        <v>13881</v>
      </c>
      <c r="D127" s="39">
        <v>35.22</v>
      </c>
      <c r="E127" s="39">
        <v>-80.930000000000007</v>
      </c>
      <c r="F127" s="2">
        <v>234</v>
      </c>
      <c r="G127" s="2">
        <v>4.08</v>
      </c>
      <c r="H127" s="2">
        <v>5.69</v>
      </c>
      <c r="I127" s="2">
        <v>6.04</v>
      </c>
      <c r="J127" s="46">
        <v>4.93</v>
      </c>
      <c r="K127" s="3">
        <v>-5</v>
      </c>
      <c r="L127" s="49">
        <v>1</v>
      </c>
      <c r="M127" s="3"/>
      <c r="N127" s="2"/>
    </row>
    <row r="128" spans="1:14" x14ac:dyDescent="0.25">
      <c r="A128" s="2" t="s">
        <v>480</v>
      </c>
      <c r="B128" s="2" t="s">
        <v>327</v>
      </c>
      <c r="C128" s="2">
        <v>13723</v>
      </c>
      <c r="D128" s="39">
        <v>36.08</v>
      </c>
      <c r="E128" s="39">
        <v>-79.95</v>
      </c>
      <c r="F128" s="2">
        <v>270</v>
      </c>
      <c r="G128" s="2">
        <v>4.0599999999999996</v>
      </c>
      <c r="H128" s="2">
        <v>5.64</v>
      </c>
      <c r="I128" s="2">
        <v>6.02</v>
      </c>
      <c r="J128" s="46">
        <v>4.84</v>
      </c>
      <c r="K128" s="3">
        <v>-5</v>
      </c>
      <c r="L128" s="49">
        <v>1</v>
      </c>
      <c r="M128" s="3"/>
      <c r="N128" s="2"/>
    </row>
    <row r="129" spans="1:14" x14ac:dyDescent="0.25">
      <c r="A129" s="2" t="s">
        <v>479</v>
      </c>
      <c r="B129" s="2" t="s">
        <v>327</v>
      </c>
      <c r="C129" s="2">
        <v>13722</v>
      </c>
      <c r="D129" s="39">
        <v>35.869999999999997</v>
      </c>
      <c r="E129" s="39">
        <v>-78.78</v>
      </c>
      <c r="F129" s="2">
        <v>134</v>
      </c>
      <c r="G129" s="2">
        <v>4.05</v>
      </c>
      <c r="H129" s="2">
        <v>5.68</v>
      </c>
      <c r="I129" s="2">
        <v>6.01</v>
      </c>
      <c r="J129" s="46">
        <v>4.83</v>
      </c>
      <c r="K129" s="3">
        <v>-5</v>
      </c>
      <c r="L129" s="49">
        <v>1</v>
      </c>
      <c r="M129" s="3"/>
      <c r="N129" s="2"/>
    </row>
    <row r="130" spans="1:14" x14ac:dyDescent="0.25">
      <c r="A130" s="2" t="s">
        <v>481</v>
      </c>
      <c r="B130" s="2" t="s">
        <v>327</v>
      </c>
      <c r="C130" s="2">
        <v>13748</v>
      </c>
      <c r="D130" s="39">
        <v>34.270000000000003</v>
      </c>
      <c r="E130" s="39">
        <v>-77.900000000000006</v>
      </c>
      <c r="F130" s="2">
        <v>9</v>
      </c>
      <c r="G130" s="2">
        <v>4.21</v>
      </c>
      <c r="H130" s="2">
        <v>5.83</v>
      </c>
      <c r="I130" s="2">
        <v>5.95</v>
      </c>
      <c r="J130" s="46">
        <v>4.95</v>
      </c>
      <c r="K130" s="3">
        <v>-5</v>
      </c>
      <c r="L130" s="49">
        <v>1</v>
      </c>
      <c r="M130" s="3"/>
      <c r="N130" s="2"/>
    </row>
    <row r="131" spans="1:14" x14ac:dyDescent="0.25">
      <c r="A131" s="2" t="s">
        <v>485</v>
      </c>
      <c r="B131" s="2" t="s">
        <v>328</v>
      </c>
      <c r="C131" s="2">
        <v>24011</v>
      </c>
      <c r="D131" s="39">
        <v>46.77</v>
      </c>
      <c r="E131" s="39">
        <v>-100.75</v>
      </c>
      <c r="F131" s="2">
        <v>502</v>
      </c>
      <c r="G131" s="2">
        <v>3.8</v>
      </c>
      <c r="H131" s="2">
        <v>5.62</v>
      </c>
      <c r="I131" s="2">
        <v>6.58</v>
      </c>
      <c r="J131" s="46">
        <v>4.43</v>
      </c>
      <c r="K131" s="3">
        <v>-6</v>
      </c>
      <c r="L131" s="49">
        <v>1</v>
      </c>
      <c r="M131" s="3"/>
      <c r="N131" s="2"/>
    </row>
    <row r="132" spans="1:14" x14ac:dyDescent="0.25">
      <c r="A132" s="2" t="s">
        <v>484</v>
      </c>
      <c r="B132" s="2" t="s">
        <v>328</v>
      </c>
      <c r="C132" s="2">
        <v>14914</v>
      </c>
      <c r="D132" s="39">
        <v>46.9</v>
      </c>
      <c r="E132" s="39">
        <v>-96.8</v>
      </c>
      <c r="F132" s="2">
        <v>274</v>
      </c>
      <c r="G132" s="2">
        <v>3.62</v>
      </c>
      <c r="H132" s="2">
        <v>5.4</v>
      </c>
      <c r="I132" s="2">
        <v>6.24</v>
      </c>
      <c r="J132" s="46">
        <v>4.04</v>
      </c>
      <c r="K132" s="3">
        <v>-6</v>
      </c>
      <c r="L132" s="49">
        <v>1</v>
      </c>
      <c r="M132" s="3"/>
      <c r="N132" s="2"/>
    </row>
    <row r="133" spans="1:14" x14ac:dyDescent="0.25">
      <c r="A133" s="2" t="s">
        <v>486</v>
      </c>
      <c r="B133" s="2" t="s">
        <v>328</v>
      </c>
      <c r="C133" s="2">
        <v>24013</v>
      </c>
      <c r="D133" s="39">
        <v>48.27</v>
      </c>
      <c r="E133" s="39">
        <v>-101.28</v>
      </c>
      <c r="F133" s="2">
        <v>522</v>
      </c>
      <c r="G133" s="2">
        <v>3.58</v>
      </c>
      <c r="H133" s="2">
        <v>5.55</v>
      </c>
      <c r="I133" s="2">
        <v>6.39</v>
      </c>
      <c r="J133" s="46">
        <v>4.2300000000000004</v>
      </c>
      <c r="K133" s="3">
        <v>-6</v>
      </c>
      <c r="L133" s="49">
        <v>1</v>
      </c>
      <c r="M133" s="3"/>
      <c r="N133" s="2"/>
    </row>
    <row r="134" spans="1:14" x14ac:dyDescent="0.25">
      <c r="A134" s="2" t="s">
        <v>487</v>
      </c>
      <c r="B134" s="2" t="s">
        <v>329</v>
      </c>
      <c r="C134" s="2">
        <v>14935</v>
      </c>
      <c r="D134" s="39">
        <v>40.97</v>
      </c>
      <c r="E134" s="39">
        <v>-98.32</v>
      </c>
      <c r="F134" s="2">
        <v>566</v>
      </c>
      <c r="G134" s="2">
        <v>4.33</v>
      </c>
      <c r="H134" s="2">
        <v>5.72</v>
      </c>
      <c r="I134" s="2">
        <v>6.68</v>
      </c>
      <c r="J134" s="46">
        <v>4.99</v>
      </c>
      <c r="K134" s="3">
        <v>-6</v>
      </c>
      <c r="L134" s="49">
        <v>1</v>
      </c>
      <c r="M134" s="3"/>
      <c r="N134" s="2"/>
    </row>
    <row r="135" spans="1:14" x14ac:dyDescent="0.25">
      <c r="A135" s="2" t="s">
        <v>488</v>
      </c>
      <c r="B135" s="2" t="s">
        <v>329</v>
      </c>
      <c r="C135" s="2">
        <v>14941</v>
      </c>
      <c r="D135" s="39">
        <v>41.98</v>
      </c>
      <c r="E135" s="39">
        <v>-97.43</v>
      </c>
      <c r="F135" s="2">
        <v>471</v>
      </c>
      <c r="G135" s="2">
        <v>4.05</v>
      </c>
      <c r="H135" s="2">
        <v>5.59</v>
      </c>
      <c r="I135" s="2">
        <v>6.53</v>
      </c>
      <c r="J135" s="46">
        <v>4.74</v>
      </c>
      <c r="K135" s="3">
        <v>-6</v>
      </c>
      <c r="L135" s="49">
        <v>1</v>
      </c>
      <c r="M135" s="3"/>
      <c r="N135" s="2"/>
    </row>
    <row r="136" spans="1:14" x14ac:dyDescent="0.25">
      <c r="A136" s="2" t="s">
        <v>489</v>
      </c>
      <c r="B136" s="2" t="s">
        <v>329</v>
      </c>
      <c r="C136" s="2">
        <v>24023</v>
      </c>
      <c r="D136" s="39">
        <v>41.13</v>
      </c>
      <c r="E136" s="39">
        <v>-100.68</v>
      </c>
      <c r="F136" s="2">
        <v>849</v>
      </c>
      <c r="G136" s="2">
        <v>4.41</v>
      </c>
      <c r="H136" s="2">
        <v>5.73</v>
      </c>
      <c r="I136" s="2">
        <v>6.68</v>
      </c>
      <c r="J136" s="46">
        <v>5.12</v>
      </c>
      <c r="K136" s="3">
        <v>-6</v>
      </c>
      <c r="L136" s="49">
        <v>1</v>
      </c>
      <c r="M136" s="3"/>
      <c r="N136" s="2"/>
    </row>
    <row r="137" spans="1:14" x14ac:dyDescent="0.25">
      <c r="A137" s="2" t="s">
        <v>491</v>
      </c>
      <c r="B137" s="2" t="s">
        <v>329</v>
      </c>
      <c r="C137" s="2">
        <v>94918</v>
      </c>
      <c r="D137" s="39">
        <v>41.37</v>
      </c>
      <c r="E137" s="39">
        <v>-96.52</v>
      </c>
      <c r="F137" s="2">
        <v>404</v>
      </c>
      <c r="G137" s="2">
        <v>3.97</v>
      </c>
      <c r="H137" s="2">
        <v>5.45</v>
      </c>
      <c r="I137" s="2">
        <v>6.42</v>
      </c>
      <c r="J137" s="46">
        <v>4.5599999999999996</v>
      </c>
      <c r="K137" s="3">
        <v>-6</v>
      </c>
      <c r="L137" s="49">
        <v>1</v>
      </c>
      <c r="M137" s="3"/>
      <c r="N137" s="2"/>
    </row>
    <row r="138" spans="1:14" x14ac:dyDescent="0.25">
      <c r="A138" s="2" t="s">
        <v>490</v>
      </c>
      <c r="B138" s="2" t="s">
        <v>329</v>
      </c>
      <c r="C138" s="2">
        <v>24028</v>
      </c>
      <c r="D138" s="39">
        <v>41.87</v>
      </c>
      <c r="E138" s="39">
        <v>-103.6</v>
      </c>
      <c r="F138" s="2">
        <v>1206</v>
      </c>
      <c r="G138" s="2">
        <v>4.3899999999999997</v>
      </c>
      <c r="H138" s="2">
        <v>5.69</v>
      </c>
      <c r="I138" s="2">
        <v>6.83</v>
      </c>
      <c r="J138" s="46">
        <v>5.21</v>
      </c>
      <c r="K138" s="3">
        <v>-6</v>
      </c>
      <c r="L138" s="49">
        <v>1</v>
      </c>
      <c r="M138" s="3"/>
      <c r="N138" s="2"/>
    </row>
    <row r="139" spans="1:14" x14ac:dyDescent="0.25">
      <c r="A139" s="2" t="s">
        <v>492</v>
      </c>
      <c r="B139" s="2" t="s">
        <v>330</v>
      </c>
      <c r="C139" s="2">
        <v>14745</v>
      </c>
      <c r="D139" s="39">
        <v>43.2</v>
      </c>
      <c r="E139" s="39">
        <v>-71.5</v>
      </c>
      <c r="F139" s="2">
        <v>105</v>
      </c>
      <c r="G139" s="2">
        <v>3.8</v>
      </c>
      <c r="H139" s="2">
        <v>5.3</v>
      </c>
      <c r="I139" s="2">
        <v>5.93</v>
      </c>
      <c r="J139" s="46">
        <v>4.0999999999999996</v>
      </c>
      <c r="K139" s="3">
        <v>-5</v>
      </c>
      <c r="L139" s="49">
        <v>1</v>
      </c>
      <c r="M139" s="3"/>
      <c r="N139" s="2"/>
    </row>
    <row r="140" spans="1:14" x14ac:dyDescent="0.25">
      <c r="A140" s="2" t="s">
        <v>494</v>
      </c>
      <c r="B140" s="2" t="s">
        <v>331</v>
      </c>
      <c r="C140" s="2">
        <v>93730</v>
      </c>
      <c r="D140" s="39">
        <v>39.450000000000003</v>
      </c>
      <c r="E140" s="39">
        <v>-74.569999999999993</v>
      </c>
      <c r="F140" s="2">
        <v>20</v>
      </c>
      <c r="G140" s="2">
        <v>3.67</v>
      </c>
      <c r="H140" s="2">
        <v>5.23</v>
      </c>
      <c r="I140" s="2">
        <v>5.88</v>
      </c>
      <c r="J140" s="46">
        <v>4.5</v>
      </c>
      <c r="K140" s="3">
        <v>-5</v>
      </c>
      <c r="L140" s="49">
        <v>1</v>
      </c>
      <c r="M140" s="3"/>
      <c r="N140" s="2"/>
    </row>
    <row r="141" spans="1:14" x14ac:dyDescent="0.25">
      <c r="A141" s="2" t="s">
        <v>493</v>
      </c>
      <c r="B141" s="2" t="s">
        <v>331</v>
      </c>
      <c r="C141" s="2">
        <v>14734</v>
      </c>
      <c r="D141" s="39">
        <v>40.700000000000003</v>
      </c>
      <c r="E141" s="39">
        <v>-74.17</v>
      </c>
      <c r="F141" s="2">
        <v>9</v>
      </c>
      <c r="G141" s="2">
        <v>3.46</v>
      </c>
      <c r="H141" s="2">
        <v>5.12</v>
      </c>
      <c r="I141" s="2">
        <v>5.78</v>
      </c>
      <c r="J141" s="46">
        <v>4.2300000000000004</v>
      </c>
      <c r="K141" s="3">
        <v>-5</v>
      </c>
      <c r="L141" s="49">
        <v>1</v>
      </c>
      <c r="M141" s="3"/>
      <c r="N141" s="2"/>
    </row>
    <row r="142" spans="1:14" x14ac:dyDescent="0.25">
      <c r="A142" s="2" t="s">
        <v>496</v>
      </c>
      <c r="B142" s="2" t="s">
        <v>332</v>
      </c>
      <c r="C142" s="2">
        <v>23050</v>
      </c>
      <c r="D142" s="39">
        <v>35.049999999999997</v>
      </c>
      <c r="E142" s="39">
        <v>-106.62</v>
      </c>
      <c r="F142" s="2">
        <v>1619</v>
      </c>
      <c r="G142" s="2">
        <v>5.7</v>
      </c>
      <c r="H142" s="2">
        <v>7.16</v>
      </c>
      <c r="I142" s="2">
        <v>7.59</v>
      </c>
      <c r="J142" s="46">
        <v>6.41</v>
      </c>
      <c r="K142" s="3">
        <v>-7</v>
      </c>
      <c r="L142" s="49">
        <v>1</v>
      </c>
      <c r="M142" s="3"/>
      <c r="N142" s="2"/>
    </row>
    <row r="143" spans="1:14" x14ac:dyDescent="0.25">
      <c r="A143" s="2" t="s">
        <v>495</v>
      </c>
      <c r="B143" s="2" t="s">
        <v>332</v>
      </c>
      <c r="C143" s="2">
        <v>23048</v>
      </c>
      <c r="D143" s="39">
        <v>35.18</v>
      </c>
      <c r="E143" s="39">
        <v>-103.6</v>
      </c>
      <c r="F143" s="2">
        <v>1231</v>
      </c>
      <c r="G143" s="2">
        <v>5.35</v>
      </c>
      <c r="H143" s="2">
        <v>6.67</v>
      </c>
      <c r="I143" s="2">
        <v>7.14</v>
      </c>
      <c r="J143" s="46">
        <v>6.02</v>
      </c>
      <c r="K143" s="3">
        <v>-7</v>
      </c>
      <c r="L143" s="49">
        <v>1</v>
      </c>
      <c r="M143" s="3"/>
      <c r="N143" s="2"/>
    </row>
    <row r="144" spans="1:14" x14ac:dyDescent="0.25">
      <c r="A144" s="2" t="s">
        <v>501</v>
      </c>
      <c r="B144" s="2" t="s">
        <v>333</v>
      </c>
      <c r="C144" s="2">
        <v>24121</v>
      </c>
      <c r="D144" s="39">
        <v>40.83</v>
      </c>
      <c r="E144" s="39">
        <v>-115.78</v>
      </c>
      <c r="F144" s="2">
        <v>1547</v>
      </c>
      <c r="G144" s="2">
        <v>4.17</v>
      </c>
      <c r="H144" s="2">
        <v>5.73</v>
      </c>
      <c r="I144" s="2">
        <v>7.19</v>
      </c>
      <c r="J144" s="46">
        <v>5.5</v>
      </c>
      <c r="K144" s="3">
        <v>-7</v>
      </c>
      <c r="L144" s="49">
        <v>1</v>
      </c>
      <c r="M144" s="3"/>
      <c r="N144" s="2"/>
    </row>
    <row r="145" spans="1:14" x14ac:dyDescent="0.25">
      <c r="A145" s="2" t="s">
        <v>498</v>
      </c>
      <c r="B145" s="2" t="s">
        <v>333</v>
      </c>
      <c r="C145" s="2">
        <v>23154</v>
      </c>
      <c r="D145" s="39">
        <v>39.28</v>
      </c>
      <c r="E145" s="39">
        <v>-114.85</v>
      </c>
      <c r="F145" s="2">
        <v>1906</v>
      </c>
      <c r="G145" s="2">
        <v>4.9800000000000004</v>
      </c>
      <c r="H145" s="2">
        <v>6.21</v>
      </c>
      <c r="I145" s="2">
        <v>7.21</v>
      </c>
      <c r="J145" s="46">
        <v>5.92</v>
      </c>
      <c r="K145" s="3">
        <v>-7</v>
      </c>
      <c r="L145" s="49">
        <v>1</v>
      </c>
      <c r="M145" s="3"/>
      <c r="N145" s="2"/>
    </row>
    <row r="146" spans="1:14" x14ac:dyDescent="0.25">
      <c r="A146" s="2" t="s">
        <v>499</v>
      </c>
      <c r="B146" s="2" t="s">
        <v>333</v>
      </c>
      <c r="C146" s="2">
        <v>23169</v>
      </c>
      <c r="D146" s="39">
        <v>36.08</v>
      </c>
      <c r="E146" s="39">
        <v>-115.17</v>
      </c>
      <c r="F146" s="2">
        <v>664</v>
      </c>
      <c r="G146" s="2">
        <v>5.55</v>
      </c>
      <c r="H146" s="2">
        <v>7.34</v>
      </c>
      <c r="I146" s="2">
        <v>7.91</v>
      </c>
      <c r="J146" s="46">
        <v>6.63</v>
      </c>
      <c r="K146" s="3">
        <v>-7</v>
      </c>
      <c r="L146" s="49">
        <v>1</v>
      </c>
      <c r="M146" s="3"/>
      <c r="N146" s="2"/>
    </row>
    <row r="147" spans="1:14" x14ac:dyDescent="0.25">
      <c r="A147" s="2" t="s">
        <v>500</v>
      </c>
      <c r="B147" s="2" t="s">
        <v>333</v>
      </c>
      <c r="C147" s="2">
        <v>23185</v>
      </c>
      <c r="D147" s="39">
        <v>39.5</v>
      </c>
      <c r="E147" s="39">
        <v>-119.78</v>
      </c>
      <c r="F147" s="2">
        <v>1341</v>
      </c>
      <c r="G147" s="2">
        <v>4.46</v>
      </c>
      <c r="H147" s="2">
        <v>6.42</v>
      </c>
      <c r="I147" s="2">
        <v>7.61</v>
      </c>
      <c r="J147" s="46">
        <v>5.92</v>
      </c>
      <c r="K147" s="3">
        <v>-7</v>
      </c>
      <c r="L147" s="49">
        <v>1</v>
      </c>
      <c r="M147" s="3"/>
      <c r="N147" s="2"/>
    </row>
    <row r="148" spans="1:14" x14ac:dyDescent="0.25">
      <c r="A148" s="2" t="s">
        <v>497</v>
      </c>
      <c r="B148" s="2" t="s">
        <v>333</v>
      </c>
      <c r="C148" s="2">
        <v>23153</v>
      </c>
      <c r="D148" s="39">
        <v>38.07</v>
      </c>
      <c r="E148" s="39">
        <v>-117.13</v>
      </c>
      <c r="F148" s="2">
        <v>1653</v>
      </c>
      <c r="G148" s="2">
        <v>5.12</v>
      </c>
      <c r="H148" s="2">
        <v>6.63</v>
      </c>
      <c r="I148" s="2">
        <v>7.66</v>
      </c>
      <c r="J148" s="46">
        <v>6.31</v>
      </c>
      <c r="K148" s="3">
        <v>-7</v>
      </c>
      <c r="L148" s="49">
        <v>1</v>
      </c>
      <c r="M148" s="3"/>
      <c r="N148" s="2"/>
    </row>
    <row r="149" spans="1:14" x14ac:dyDescent="0.25">
      <c r="A149" s="2" t="s">
        <v>502</v>
      </c>
      <c r="B149" s="2" t="s">
        <v>333</v>
      </c>
      <c r="C149" s="2">
        <v>24128</v>
      </c>
      <c r="D149" s="39">
        <v>40.9</v>
      </c>
      <c r="E149" s="39">
        <v>-117.8</v>
      </c>
      <c r="F149" s="2">
        <v>1323</v>
      </c>
      <c r="G149" s="2">
        <v>4.05</v>
      </c>
      <c r="H149" s="2">
        <v>5.96</v>
      </c>
      <c r="I149" s="2">
        <v>7.41</v>
      </c>
      <c r="J149" s="46">
        <v>5.56</v>
      </c>
      <c r="K149" s="3">
        <v>-7</v>
      </c>
      <c r="L149" s="49">
        <v>1</v>
      </c>
      <c r="M149" s="3"/>
      <c r="N149" s="2"/>
    </row>
    <row r="150" spans="1:14" x14ac:dyDescent="0.25">
      <c r="A150" s="2" t="s">
        <v>505</v>
      </c>
      <c r="B150" s="2" t="s">
        <v>334</v>
      </c>
      <c r="C150" s="2">
        <v>14735</v>
      </c>
      <c r="D150" s="39">
        <v>42.75</v>
      </c>
      <c r="E150" s="39">
        <v>-73.8</v>
      </c>
      <c r="F150" s="2">
        <v>89</v>
      </c>
      <c r="G150" s="2">
        <v>3.21</v>
      </c>
      <c r="H150" s="2">
        <v>5.01</v>
      </c>
      <c r="I150" s="2">
        <v>5.84</v>
      </c>
      <c r="J150" s="46">
        <v>3.79</v>
      </c>
      <c r="K150" s="3">
        <v>-7</v>
      </c>
      <c r="L150" s="49">
        <v>1</v>
      </c>
      <c r="M150" s="3"/>
      <c r="N150" s="2"/>
    </row>
    <row r="151" spans="1:14" x14ac:dyDescent="0.25">
      <c r="A151" s="2" t="s">
        <v>503</v>
      </c>
      <c r="B151" s="2" t="s">
        <v>334</v>
      </c>
      <c r="C151" s="2">
        <v>4725</v>
      </c>
      <c r="D151" s="39">
        <v>42.22</v>
      </c>
      <c r="E151" s="39">
        <v>-75.98</v>
      </c>
      <c r="F151" s="2">
        <v>499</v>
      </c>
      <c r="G151" s="2">
        <v>2.87</v>
      </c>
      <c r="H151" s="2">
        <v>4.82</v>
      </c>
      <c r="I151" s="2">
        <v>5.62</v>
      </c>
      <c r="J151" s="46">
        <v>3.58</v>
      </c>
      <c r="K151" s="3">
        <v>-5</v>
      </c>
      <c r="L151" s="49">
        <v>1</v>
      </c>
      <c r="M151" s="3"/>
      <c r="N151" s="2"/>
    </row>
    <row r="152" spans="1:14" x14ac:dyDescent="0.25">
      <c r="A152" s="2" t="s">
        <v>504</v>
      </c>
      <c r="B152" s="2" t="s">
        <v>334</v>
      </c>
      <c r="C152" s="2">
        <v>14733</v>
      </c>
      <c r="D152" s="39">
        <v>42.93</v>
      </c>
      <c r="E152" s="39">
        <v>-78.73</v>
      </c>
      <c r="F152" s="2">
        <v>215</v>
      </c>
      <c r="G152" s="2">
        <v>2.59</v>
      </c>
      <c r="H152" s="2">
        <v>4.9000000000000004</v>
      </c>
      <c r="I152" s="2">
        <v>5.87</v>
      </c>
      <c r="J152" s="46">
        <v>3.49</v>
      </c>
      <c r="K152" s="3">
        <v>-5</v>
      </c>
      <c r="L152" s="49">
        <v>1</v>
      </c>
      <c r="M152" s="3"/>
      <c r="N152" s="2"/>
    </row>
    <row r="153" spans="1:14" x14ac:dyDescent="0.25">
      <c r="A153" s="2" t="s">
        <v>508</v>
      </c>
      <c r="B153" s="2" t="s">
        <v>334</v>
      </c>
      <c r="C153" s="2">
        <v>94725</v>
      </c>
      <c r="D153" s="39">
        <v>44.93</v>
      </c>
      <c r="E153" s="39">
        <v>-74.849999999999994</v>
      </c>
      <c r="F153" s="2">
        <v>63</v>
      </c>
      <c r="G153" s="2">
        <v>3.33</v>
      </c>
      <c r="H153" s="2">
        <v>5.2</v>
      </c>
      <c r="I153" s="2">
        <v>5.85</v>
      </c>
      <c r="J153" s="46">
        <v>3.61</v>
      </c>
      <c r="K153" s="3">
        <v>-5</v>
      </c>
      <c r="L153" s="49">
        <v>1</v>
      </c>
      <c r="M153" s="3"/>
      <c r="N153" s="2"/>
    </row>
    <row r="154" spans="1:14" x14ac:dyDescent="0.25">
      <c r="A154" s="2" t="s">
        <v>509</v>
      </c>
      <c r="B154" s="2" t="s">
        <v>334</v>
      </c>
      <c r="C154" s="2">
        <v>94728</v>
      </c>
      <c r="D154" s="39">
        <v>40.78</v>
      </c>
      <c r="E154" s="39">
        <v>-73.97</v>
      </c>
      <c r="F154" s="2">
        <v>57</v>
      </c>
      <c r="G154" s="2">
        <v>3.43</v>
      </c>
      <c r="H154" s="2">
        <v>5.28</v>
      </c>
      <c r="I154" s="2">
        <v>5.94</v>
      </c>
      <c r="J154" s="46">
        <v>4.26</v>
      </c>
      <c r="K154" s="3">
        <v>-5</v>
      </c>
      <c r="L154" s="49">
        <v>1</v>
      </c>
      <c r="M154" s="3"/>
      <c r="N154" s="2"/>
    </row>
    <row r="155" spans="1:14" x14ac:dyDescent="0.25">
      <c r="A155" s="2" t="s">
        <v>506</v>
      </c>
      <c r="B155" s="2" t="s">
        <v>334</v>
      </c>
      <c r="C155" s="2">
        <v>14768</v>
      </c>
      <c r="D155" s="39">
        <v>43.12</v>
      </c>
      <c r="E155" s="39">
        <v>-77.67</v>
      </c>
      <c r="F155" s="2">
        <v>169</v>
      </c>
      <c r="G155" s="2">
        <v>2.65</v>
      </c>
      <c r="H155" s="2">
        <v>4.92</v>
      </c>
      <c r="I155" s="2">
        <v>5.86</v>
      </c>
      <c r="J155" s="46">
        <v>3.51</v>
      </c>
      <c r="K155" s="3">
        <v>-5</v>
      </c>
      <c r="L155" s="49">
        <v>1</v>
      </c>
      <c r="M155" s="3"/>
      <c r="N155" s="2"/>
    </row>
    <row r="156" spans="1:14" x14ac:dyDescent="0.25">
      <c r="A156" s="2" t="s">
        <v>507</v>
      </c>
      <c r="B156" s="2" t="s">
        <v>334</v>
      </c>
      <c r="C156" s="2">
        <v>14771</v>
      </c>
      <c r="D156" s="39">
        <v>43.12</v>
      </c>
      <c r="E156" s="39">
        <v>-76.12</v>
      </c>
      <c r="F156" s="2">
        <v>124</v>
      </c>
      <c r="G156" s="2">
        <v>2.8</v>
      </c>
      <c r="H156" s="2">
        <v>4.96</v>
      </c>
      <c r="I156" s="2">
        <v>5.88</v>
      </c>
      <c r="J156" s="46">
        <v>3.57</v>
      </c>
      <c r="K156" s="3">
        <v>-5</v>
      </c>
      <c r="L156" s="49">
        <v>1</v>
      </c>
      <c r="M156" s="3"/>
      <c r="N156" s="2"/>
    </row>
    <row r="157" spans="1:14" x14ac:dyDescent="0.25">
      <c r="A157" s="2" t="s">
        <v>514</v>
      </c>
      <c r="B157" s="2" t="s">
        <v>335</v>
      </c>
      <c r="C157" s="2">
        <v>14895</v>
      </c>
      <c r="D157" s="39">
        <v>40.92</v>
      </c>
      <c r="E157" s="39">
        <v>-81.430000000000007</v>
      </c>
      <c r="F157" s="2">
        <v>377</v>
      </c>
      <c r="G157" s="2">
        <v>2.66</v>
      </c>
      <c r="H157" s="2">
        <v>4.82</v>
      </c>
      <c r="I157" s="2">
        <v>5.85</v>
      </c>
      <c r="J157" s="46">
        <v>3.8</v>
      </c>
      <c r="K157" s="3">
        <v>-5</v>
      </c>
      <c r="L157" s="49">
        <v>1</v>
      </c>
      <c r="M157" s="3"/>
      <c r="N157" s="2"/>
    </row>
    <row r="158" spans="1:14" x14ac:dyDescent="0.25">
      <c r="A158" s="2" t="s">
        <v>510</v>
      </c>
      <c r="B158" s="2" t="s">
        <v>335</v>
      </c>
      <c r="C158" s="2">
        <v>14820</v>
      </c>
      <c r="D158" s="39">
        <v>41.4</v>
      </c>
      <c r="E158" s="39">
        <v>-81.849999999999994</v>
      </c>
      <c r="F158" s="2">
        <v>245</v>
      </c>
      <c r="G158" s="2">
        <v>2.54</v>
      </c>
      <c r="H158" s="2">
        <v>4.87</v>
      </c>
      <c r="I158" s="2">
        <v>5.93</v>
      </c>
      <c r="J158" s="46">
        <v>3.67</v>
      </c>
      <c r="K158" s="3">
        <v>-5</v>
      </c>
      <c r="L158" s="49">
        <v>1</v>
      </c>
      <c r="M158" s="3"/>
      <c r="N158" s="2"/>
    </row>
    <row r="159" spans="1:14" x14ac:dyDescent="0.25">
      <c r="A159" s="2" t="s">
        <v>511</v>
      </c>
      <c r="B159" s="2" t="s">
        <v>335</v>
      </c>
      <c r="C159" s="2">
        <v>14821</v>
      </c>
      <c r="D159" s="39">
        <v>40</v>
      </c>
      <c r="E159" s="39">
        <v>-82.88</v>
      </c>
      <c r="F159" s="2">
        <v>254</v>
      </c>
      <c r="G159" s="2">
        <v>2.82</v>
      </c>
      <c r="H159" s="2">
        <v>4.84</v>
      </c>
      <c r="I159" s="2">
        <v>5.8</v>
      </c>
      <c r="J159" s="46">
        <v>4.03</v>
      </c>
      <c r="K159" s="3">
        <v>-5</v>
      </c>
      <c r="L159" s="49">
        <v>1</v>
      </c>
      <c r="M159" s="3"/>
      <c r="N159" s="2"/>
    </row>
    <row r="160" spans="1:14" x14ac:dyDescent="0.25">
      <c r="A160" s="2" t="s">
        <v>515</v>
      </c>
      <c r="B160" s="2" t="s">
        <v>335</v>
      </c>
      <c r="C160" s="2">
        <v>93815</v>
      </c>
      <c r="D160" s="39">
        <v>39.9</v>
      </c>
      <c r="E160" s="39">
        <v>-84.22</v>
      </c>
      <c r="F160" s="2">
        <v>306</v>
      </c>
      <c r="G160" s="2">
        <v>3.06</v>
      </c>
      <c r="H160" s="2">
        <v>5.01</v>
      </c>
      <c r="I160" s="2">
        <v>6</v>
      </c>
      <c r="J160" s="46">
        <v>4.16</v>
      </c>
      <c r="K160" s="3">
        <v>-5</v>
      </c>
      <c r="L160" s="49">
        <v>1</v>
      </c>
      <c r="M160" s="3"/>
      <c r="N160" s="2"/>
    </row>
    <row r="161" spans="1:14" x14ac:dyDescent="0.25">
      <c r="A161" s="2" t="s">
        <v>513</v>
      </c>
      <c r="B161" s="2" t="s">
        <v>335</v>
      </c>
      <c r="C161" s="2">
        <v>14891</v>
      </c>
      <c r="D161" s="39">
        <v>40.82</v>
      </c>
      <c r="E161" s="39">
        <v>-82.52</v>
      </c>
      <c r="F161" s="2">
        <v>395</v>
      </c>
      <c r="G161" s="2">
        <v>2.74</v>
      </c>
      <c r="H161" s="2">
        <v>4.83</v>
      </c>
      <c r="I161" s="2">
        <v>5.88</v>
      </c>
      <c r="J161" s="46">
        <v>3.86</v>
      </c>
      <c r="K161" s="3">
        <v>-5</v>
      </c>
      <c r="L161" s="49">
        <v>1</v>
      </c>
      <c r="M161" s="3"/>
      <c r="N161" s="2"/>
    </row>
    <row r="162" spans="1:14" x14ac:dyDescent="0.25">
      <c r="A162" s="2" t="s">
        <v>516</v>
      </c>
      <c r="B162" s="2" t="s">
        <v>335</v>
      </c>
      <c r="C162" s="2">
        <v>94830</v>
      </c>
      <c r="D162" s="39">
        <v>41.6</v>
      </c>
      <c r="E162" s="39">
        <v>-83.8</v>
      </c>
      <c r="F162" s="2">
        <v>211</v>
      </c>
      <c r="G162" s="2">
        <v>2.97</v>
      </c>
      <c r="H162" s="2">
        <v>5.08</v>
      </c>
      <c r="I162" s="2">
        <v>6.1</v>
      </c>
      <c r="J162" s="46">
        <v>3.96</v>
      </c>
      <c r="K162" s="3">
        <v>-5</v>
      </c>
      <c r="L162" s="49">
        <v>1</v>
      </c>
      <c r="M162" s="3"/>
      <c r="N162" s="2"/>
    </row>
    <row r="163" spans="1:14" x14ac:dyDescent="0.25">
      <c r="A163" s="2" t="s">
        <v>512</v>
      </c>
      <c r="B163" s="2" t="s">
        <v>335</v>
      </c>
      <c r="C163" s="2">
        <v>14852</v>
      </c>
      <c r="D163" s="39">
        <v>41.27</v>
      </c>
      <c r="E163" s="39">
        <v>-80.67</v>
      </c>
      <c r="F163" s="2">
        <v>361</v>
      </c>
      <c r="G163" s="2">
        <v>2.4900000000000002</v>
      </c>
      <c r="H163" s="2">
        <v>4.66</v>
      </c>
      <c r="I163" s="2">
        <v>5.64</v>
      </c>
      <c r="J163" s="46">
        <v>3.58</v>
      </c>
      <c r="K163" s="3">
        <v>-5</v>
      </c>
      <c r="L163" s="49">
        <v>1</v>
      </c>
      <c r="M163" s="3"/>
      <c r="N163" s="2"/>
    </row>
    <row r="164" spans="1:14" x14ac:dyDescent="0.25">
      <c r="A164" s="2" t="s">
        <v>517</v>
      </c>
      <c r="B164" s="2" t="s">
        <v>336</v>
      </c>
      <c r="C164" s="2">
        <v>13967</v>
      </c>
      <c r="D164" s="39">
        <v>35.4</v>
      </c>
      <c r="E164" s="39">
        <v>-97.6</v>
      </c>
      <c r="F164" s="2">
        <v>397</v>
      </c>
      <c r="G164" s="2">
        <v>4.58</v>
      </c>
      <c r="H164" s="2">
        <v>5.9</v>
      </c>
      <c r="I164" s="2">
        <v>6.73</v>
      </c>
      <c r="J164" s="46">
        <v>5.29</v>
      </c>
      <c r="K164" s="3">
        <v>-6</v>
      </c>
      <c r="L164" s="49">
        <v>1</v>
      </c>
      <c r="M164" s="3"/>
      <c r="N164" s="2"/>
    </row>
    <row r="165" spans="1:14" x14ac:dyDescent="0.25">
      <c r="A165" s="2" t="s">
        <v>518</v>
      </c>
      <c r="B165" s="2" t="s">
        <v>336</v>
      </c>
      <c r="C165" s="2">
        <v>13968</v>
      </c>
      <c r="D165" s="39">
        <v>36.200000000000003</v>
      </c>
      <c r="E165" s="39">
        <v>-95.9</v>
      </c>
      <c r="F165" s="2">
        <v>206</v>
      </c>
      <c r="G165" s="2">
        <v>4.18</v>
      </c>
      <c r="H165" s="2">
        <v>5.57</v>
      </c>
      <c r="I165" s="2">
        <v>6.45</v>
      </c>
      <c r="J165" s="46">
        <v>4.91</v>
      </c>
      <c r="K165" s="3">
        <v>-6</v>
      </c>
      <c r="L165" s="49">
        <v>1</v>
      </c>
      <c r="M165" s="3"/>
      <c r="N165" s="2"/>
    </row>
    <row r="166" spans="1:14" x14ac:dyDescent="0.25">
      <c r="A166" s="2" t="s">
        <v>527</v>
      </c>
      <c r="B166" s="2" t="s">
        <v>337</v>
      </c>
      <c r="C166" s="2">
        <v>94224</v>
      </c>
      <c r="D166" s="39">
        <v>46.15</v>
      </c>
      <c r="E166" s="39">
        <v>-123.88</v>
      </c>
      <c r="F166" s="2">
        <v>7</v>
      </c>
      <c r="G166" s="2">
        <v>2.06</v>
      </c>
      <c r="H166" s="2">
        <v>4.24</v>
      </c>
      <c r="I166" s="2">
        <v>5.26</v>
      </c>
      <c r="J166" s="46">
        <v>3.44</v>
      </c>
      <c r="K166" s="3">
        <v>-8</v>
      </c>
      <c r="L166" s="49">
        <v>1</v>
      </c>
      <c r="M166" s="3"/>
      <c r="N166" s="2"/>
    </row>
    <row r="167" spans="1:14" x14ac:dyDescent="0.25">
      <c r="A167" s="2" t="s">
        <v>526</v>
      </c>
      <c r="B167" s="2" t="s">
        <v>337</v>
      </c>
      <c r="C167" s="2">
        <v>94185</v>
      </c>
      <c r="D167" s="39">
        <v>43.58</v>
      </c>
      <c r="E167" s="39">
        <v>-119.05</v>
      </c>
      <c r="F167" s="2">
        <v>1271</v>
      </c>
      <c r="G167" s="2">
        <v>3.39</v>
      </c>
      <c r="H167" s="2">
        <v>5.74</v>
      </c>
      <c r="I167" s="2">
        <v>7.22</v>
      </c>
      <c r="J167" s="46">
        <v>4.95</v>
      </c>
      <c r="K167" s="3">
        <v>-8</v>
      </c>
      <c r="L167" s="49">
        <v>1</v>
      </c>
      <c r="M167" s="3"/>
      <c r="N167" s="2"/>
    </row>
    <row r="168" spans="1:14" x14ac:dyDescent="0.25">
      <c r="A168" s="2" t="s">
        <v>520</v>
      </c>
      <c r="B168" s="2" t="s">
        <v>337</v>
      </c>
      <c r="C168" s="2">
        <v>24221</v>
      </c>
      <c r="D168" s="39">
        <v>44.12</v>
      </c>
      <c r="E168" s="39">
        <v>-123.22</v>
      </c>
      <c r="F168" s="2">
        <v>109</v>
      </c>
      <c r="G168" s="2">
        <v>2.08</v>
      </c>
      <c r="H168" s="2">
        <v>4.75</v>
      </c>
      <c r="I168" s="2">
        <v>6.4</v>
      </c>
      <c r="J168" s="46">
        <v>3.78</v>
      </c>
      <c r="K168" s="3">
        <v>-8</v>
      </c>
      <c r="L168" s="49">
        <v>1</v>
      </c>
      <c r="M168" s="3"/>
      <c r="N168" s="2"/>
    </row>
    <row r="169" spans="1:14" x14ac:dyDescent="0.25">
      <c r="A169" s="2" t="s">
        <v>521</v>
      </c>
      <c r="B169" s="2" t="s">
        <v>337</v>
      </c>
      <c r="C169" s="2">
        <v>24225</v>
      </c>
      <c r="D169" s="39">
        <v>42.37</v>
      </c>
      <c r="E169" s="39">
        <v>-122.87</v>
      </c>
      <c r="F169" s="2">
        <v>396</v>
      </c>
      <c r="G169" s="2">
        <v>2.5499999999999998</v>
      </c>
      <c r="H169" s="2">
        <v>5.64</v>
      </c>
      <c r="I169" s="2">
        <v>7.4</v>
      </c>
      <c r="J169" s="46">
        <v>4.58</v>
      </c>
      <c r="K169" s="3">
        <v>-8</v>
      </c>
      <c r="L169" s="49">
        <v>1</v>
      </c>
      <c r="M169" s="3"/>
      <c r="N169" s="2"/>
    </row>
    <row r="170" spans="1:14" x14ac:dyDescent="0.25">
      <c r="A170" s="2" t="s">
        <v>525</v>
      </c>
      <c r="B170" s="2" t="s">
        <v>337</v>
      </c>
      <c r="C170" s="2">
        <v>24284</v>
      </c>
      <c r="D170" s="39">
        <v>43.42</v>
      </c>
      <c r="E170" s="39">
        <v>-124.25</v>
      </c>
      <c r="F170" s="2">
        <v>5</v>
      </c>
      <c r="G170" s="2">
        <v>2.78</v>
      </c>
      <c r="H170" s="2">
        <v>5.04</v>
      </c>
      <c r="I170" s="2">
        <v>6.24</v>
      </c>
      <c r="J170" s="46">
        <v>4.2300000000000004</v>
      </c>
      <c r="K170" s="3">
        <v>-8</v>
      </c>
      <c r="L170" s="49">
        <v>1</v>
      </c>
      <c r="M170" s="3"/>
      <c r="N170" s="2"/>
    </row>
    <row r="171" spans="1:14" x14ac:dyDescent="0.25">
      <c r="A171" s="2" t="s">
        <v>519</v>
      </c>
      <c r="B171" s="2" t="s">
        <v>337</v>
      </c>
      <c r="C171" s="2">
        <v>24155</v>
      </c>
      <c r="D171" s="39">
        <v>45.68</v>
      </c>
      <c r="E171" s="39">
        <v>-118.85</v>
      </c>
      <c r="F171" s="2">
        <v>456</v>
      </c>
      <c r="G171" s="2">
        <v>2.4300000000000002</v>
      </c>
      <c r="H171" s="2">
        <v>5.43</v>
      </c>
      <c r="I171" s="2">
        <v>7.06</v>
      </c>
      <c r="J171" s="46">
        <v>4.5</v>
      </c>
      <c r="K171" s="3">
        <v>-8</v>
      </c>
      <c r="L171" s="49">
        <v>1</v>
      </c>
      <c r="M171" s="3"/>
      <c r="N171" s="2"/>
    </row>
    <row r="172" spans="1:14" x14ac:dyDescent="0.25">
      <c r="A172" s="2" t="s">
        <v>522</v>
      </c>
      <c r="B172" s="2" t="s">
        <v>337</v>
      </c>
      <c r="C172" s="2">
        <v>24229</v>
      </c>
      <c r="D172" s="39">
        <v>45.6</v>
      </c>
      <c r="E172" s="39">
        <v>-122.6</v>
      </c>
      <c r="F172" s="2">
        <v>12</v>
      </c>
      <c r="G172" s="2">
        <v>2.0299999999999998</v>
      </c>
      <c r="H172" s="2">
        <v>4.54</v>
      </c>
      <c r="I172" s="2">
        <v>6.01</v>
      </c>
      <c r="J172" s="46">
        <v>3.6</v>
      </c>
      <c r="K172" s="3">
        <v>-8</v>
      </c>
      <c r="L172" s="49">
        <v>1</v>
      </c>
      <c r="M172" s="3"/>
      <c r="N172" s="2"/>
    </row>
    <row r="173" spans="1:14" x14ac:dyDescent="0.25">
      <c r="A173" s="2" t="s">
        <v>523</v>
      </c>
      <c r="B173" s="2" t="s">
        <v>337</v>
      </c>
      <c r="C173" s="2">
        <v>24230</v>
      </c>
      <c r="D173" s="39">
        <v>44.27</v>
      </c>
      <c r="E173" s="39">
        <v>-121.15</v>
      </c>
      <c r="F173" s="2">
        <v>940</v>
      </c>
      <c r="G173" s="2">
        <v>3.24</v>
      </c>
      <c r="H173" s="2">
        <v>5.8</v>
      </c>
      <c r="I173" s="2">
        <v>7.31</v>
      </c>
      <c r="J173" s="46">
        <v>4.9400000000000004</v>
      </c>
      <c r="K173" s="3">
        <v>-8</v>
      </c>
      <c r="L173" s="49">
        <v>1</v>
      </c>
      <c r="M173" s="3"/>
      <c r="N173" s="2"/>
    </row>
    <row r="174" spans="1:14" x14ac:dyDescent="0.25">
      <c r="A174" s="2" t="s">
        <v>524</v>
      </c>
      <c r="B174" s="2" t="s">
        <v>337</v>
      </c>
      <c r="C174" s="2">
        <v>24232</v>
      </c>
      <c r="D174" s="39">
        <v>44.92</v>
      </c>
      <c r="E174" s="39">
        <v>-123.02</v>
      </c>
      <c r="F174" s="2">
        <v>61</v>
      </c>
      <c r="G174" s="2">
        <v>2.14</v>
      </c>
      <c r="H174" s="2">
        <v>4.76</v>
      </c>
      <c r="I174" s="2">
        <v>6.3</v>
      </c>
      <c r="J174" s="46">
        <v>3.79</v>
      </c>
      <c r="K174" s="3">
        <v>-8</v>
      </c>
      <c r="L174" s="49">
        <v>1</v>
      </c>
      <c r="M174" s="3"/>
      <c r="N174" s="2"/>
    </row>
    <row r="175" spans="1:14" x14ac:dyDescent="0.25">
      <c r="A175" s="2" t="s">
        <v>530</v>
      </c>
      <c r="B175" s="2" t="s">
        <v>338</v>
      </c>
      <c r="C175" s="2">
        <v>14737</v>
      </c>
      <c r="D175" s="39">
        <v>40.65</v>
      </c>
      <c r="E175" s="39">
        <v>-75.430000000000007</v>
      </c>
      <c r="F175" s="2">
        <v>117</v>
      </c>
      <c r="G175" s="2">
        <v>3.32</v>
      </c>
      <c r="H175" s="2">
        <v>5.03</v>
      </c>
      <c r="I175" s="2">
        <v>5.77</v>
      </c>
      <c r="J175" s="46">
        <v>4.0599999999999996</v>
      </c>
      <c r="K175" s="3">
        <v>-5</v>
      </c>
      <c r="L175" s="49">
        <v>1</v>
      </c>
      <c r="M175" s="3"/>
      <c r="N175" s="2"/>
    </row>
    <row r="176" spans="1:14" x14ac:dyDescent="0.25">
      <c r="A176" s="2" t="s">
        <v>528</v>
      </c>
      <c r="B176" s="2" t="s">
        <v>338</v>
      </c>
      <c r="C176" s="2">
        <v>4751</v>
      </c>
      <c r="D176" s="39">
        <v>41.8</v>
      </c>
      <c r="E176" s="39">
        <v>-78.63</v>
      </c>
      <c r="F176" s="2">
        <v>600</v>
      </c>
      <c r="G176" s="2">
        <v>2.9</v>
      </c>
      <c r="H176" s="2">
        <v>4.9400000000000004</v>
      </c>
      <c r="I176" s="2">
        <v>5.69</v>
      </c>
      <c r="J176" s="46">
        <v>3.6</v>
      </c>
      <c r="K176" s="3">
        <v>-5</v>
      </c>
      <c r="L176" s="49">
        <v>1</v>
      </c>
      <c r="M176" s="3"/>
      <c r="N176" s="2"/>
    </row>
    <row r="177" spans="1:14" x14ac:dyDescent="0.25">
      <c r="A177" s="2" t="s">
        <v>534</v>
      </c>
      <c r="B177" s="2" t="s">
        <v>338</v>
      </c>
      <c r="C177" s="2">
        <v>14860</v>
      </c>
      <c r="D177" s="39">
        <v>42.08</v>
      </c>
      <c r="E177" s="39">
        <v>-80.180000000000007</v>
      </c>
      <c r="F177" s="2">
        <v>225</v>
      </c>
      <c r="G177" s="2">
        <v>2.4500000000000002</v>
      </c>
      <c r="H177" s="2">
        <v>4.97</v>
      </c>
      <c r="I177" s="2">
        <v>6.03</v>
      </c>
      <c r="J177" s="46">
        <v>3.56</v>
      </c>
      <c r="K177" s="3">
        <v>-5</v>
      </c>
      <c r="L177" s="49">
        <v>1</v>
      </c>
      <c r="M177" s="3"/>
      <c r="N177" s="2"/>
    </row>
    <row r="178" spans="1:14" x14ac:dyDescent="0.25">
      <c r="A178" s="2" t="s">
        <v>531</v>
      </c>
      <c r="B178" s="2" t="s">
        <v>338</v>
      </c>
      <c r="C178" s="2">
        <v>14751</v>
      </c>
      <c r="D178" s="39">
        <v>40.22</v>
      </c>
      <c r="E178" s="39">
        <v>-76.849999999999994</v>
      </c>
      <c r="F178" s="2">
        <v>106</v>
      </c>
      <c r="G178" s="2">
        <v>3.42</v>
      </c>
      <c r="H178" s="2">
        <v>5.12</v>
      </c>
      <c r="I178" s="2">
        <v>5.84</v>
      </c>
      <c r="J178" s="46">
        <v>4.18</v>
      </c>
      <c r="K178" s="3">
        <v>-5</v>
      </c>
      <c r="L178" s="49">
        <v>1</v>
      </c>
      <c r="M178" s="3"/>
      <c r="N178" s="2"/>
    </row>
    <row r="179" spans="1:14" x14ac:dyDescent="0.25">
      <c r="A179" s="2" t="s">
        <v>529</v>
      </c>
      <c r="B179" s="2" t="s">
        <v>338</v>
      </c>
      <c r="C179" s="2">
        <v>13739</v>
      </c>
      <c r="D179" s="39">
        <v>39.880000000000003</v>
      </c>
      <c r="E179" s="39">
        <v>-75.25</v>
      </c>
      <c r="F179" s="2">
        <v>9</v>
      </c>
      <c r="G179" s="2">
        <v>3.5</v>
      </c>
      <c r="H179" s="2">
        <v>5.14</v>
      </c>
      <c r="I179" s="2">
        <v>5.93</v>
      </c>
      <c r="J179" s="46">
        <v>4.3600000000000003</v>
      </c>
      <c r="K179" s="3">
        <v>-5</v>
      </c>
      <c r="L179" s="49">
        <v>1</v>
      </c>
      <c r="M179" s="3"/>
      <c r="N179" s="2"/>
    </row>
    <row r="180" spans="1:14" x14ac:dyDescent="0.25">
      <c r="A180" s="2" t="s">
        <v>535</v>
      </c>
      <c r="B180" s="2" t="s">
        <v>338</v>
      </c>
      <c r="C180" s="2">
        <v>94823</v>
      </c>
      <c r="D180" s="39">
        <v>40.5</v>
      </c>
      <c r="E180" s="39">
        <v>-80.22</v>
      </c>
      <c r="F180" s="2">
        <v>373</v>
      </c>
      <c r="G180" s="2">
        <v>2.7</v>
      </c>
      <c r="H180" s="2">
        <v>4.8600000000000003</v>
      </c>
      <c r="I180" s="2">
        <v>5.82</v>
      </c>
      <c r="J180" s="46">
        <v>3.86</v>
      </c>
      <c r="K180" s="3">
        <v>-5</v>
      </c>
      <c r="L180" s="49">
        <v>1</v>
      </c>
      <c r="M180" s="3"/>
      <c r="N180" s="2"/>
    </row>
    <row r="181" spans="1:14" x14ac:dyDescent="0.25">
      <c r="A181" s="2" t="s">
        <v>532</v>
      </c>
      <c r="B181" s="2" t="s">
        <v>338</v>
      </c>
      <c r="C181" s="2">
        <v>14777</v>
      </c>
      <c r="D181" s="39">
        <v>41.33</v>
      </c>
      <c r="E181" s="39">
        <v>-75.73</v>
      </c>
      <c r="F181" s="2">
        <v>289</v>
      </c>
      <c r="G181" s="2">
        <v>2.95</v>
      </c>
      <c r="H181" s="2">
        <v>4.9000000000000004</v>
      </c>
      <c r="I181" s="2">
        <v>5.76</v>
      </c>
      <c r="J181" s="46">
        <v>3.79</v>
      </c>
      <c r="K181" s="3">
        <v>-5</v>
      </c>
      <c r="L181" s="49">
        <v>1</v>
      </c>
      <c r="M181" s="3"/>
      <c r="N181" s="2"/>
    </row>
    <row r="182" spans="1:14" x14ac:dyDescent="0.25">
      <c r="A182" s="2" t="s">
        <v>533</v>
      </c>
      <c r="B182" s="2" t="s">
        <v>338</v>
      </c>
      <c r="C182" s="2">
        <v>14778</v>
      </c>
      <c r="D182" s="39">
        <v>41.27</v>
      </c>
      <c r="E182" s="39">
        <v>-77.05</v>
      </c>
      <c r="F182" s="2">
        <v>243</v>
      </c>
      <c r="G182" s="2">
        <v>3.02</v>
      </c>
      <c r="H182" s="2">
        <v>4.95</v>
      </c>
      <c r="I182" s="2">
        <v>5.78</v>
      </c>
      <c r="J182" s="46">
        <v>3.72</v>
      </c>
      <c r="K182" s="3">
        <v>-5</v>
      </c>
      <c r="L182" s="49">
        <v>1</v>
      </c>
      <c r="M182" s="3"/>
      <c r="N182" s="2"/>
    </row>
    <row r="183" spans="1:14" x14ac:dyDescent="0.25">
      <c r="A183" s="2" t="s">
        <v>536</v>
      </c>
      <c r="B183" s="2" t="s">
        <v>339</v>
      </c>
      <c r="C183" s="2">
        <v>41415</v>
      </c>
      <c r="D183" s="39">
        <v>13.55</v>
      </c>
      <c r="E183" s="39">
        <v>144.83000000000001</v>
      </c>
      <c r="F183" s="2">
        <v>110</v>
      </c>
      <c r="G183" s="2">
        <v>4.8600000000000003</v>
      </c>
      <c r="H183" s="2">
        <v>5.71</v>
      </c>
      <c r="I183" s="2">
        <v>5.14</v>
      </c>
      <c r="J183" s="46">
        <v>4.9800000000000004</v>
      </c>
      <c r="K183" s="3">
        <v>10</v>
      </c>
      <c r="L183" s="49">
        <v>0</v>
      </c>
      <c r="M183" s="3"/>
      <c r="N183" s="2"/>
    </row>
    <row r="184" spans="1:14" x14ac:dyDescent="0.25">
      <c r="A184" s="2" t="s">
        <v>537</v>
      </c>
      <c r="B184" s="2" t="s">
        <v>340</v>
      </c>
      <c r="C184" s="2">
        <v>11641</v>
      </c>
      <c r="D184" s="39">
        <v>18.43</v>
      </c>
      <c r="E184" s="39">
        <v>-66</v>
      </c>
      <c r="F184" s="2">
        <v>19</v>
      </c>
      <c r="G184" s="2">
        <v>5.14</v>
      </c>
      <c r="H184" s="2">
        <v>5.98</v>
      </c>
      <c r="I184" s="2">
        <v>6.03</v>
      </c>
      <c r="J184" s="46">
        <v>5.51</v>
      </c>
      <c r="K184" s="3">
        <v>-4</v>
      </c>
      <c r="L184" s="49">
        <v>0</v>
      </c>
      <c r="M184" s="3"/>
      <c r="N184" s="2"/>
    </row>
    <row r="185" spans="1:14" x14ac:dyDescent="0.25">
      <c r="A185" s="2" t="s">
        <v>538</v>
      </c>
      <c r="B185" s="2" t="s">
        <v>341</v>
      </c>
      <c r="C185" s="2">
        <v>14765</v>
      </c>
      <c r="D185" s="39">
        <v>41.73</v>
      </c>
      <c r="E185" s="39">
        <v>-71.430000000000007</v>
      </c>
      <c r="F185" s="2">
        <v>19</v>
      </c>
      <c r="G185" s="2">
        <v>3.57</v>
      </c>
      <c r="H185" s="2">
        <v>5.13</v>
      </c>
      <c r="I185" s="2">
        <v>5.82</v>
      </c>
      <c r="J185" s="46">
        <v>4.22</v>
      </c>
      <c r="K185" s="3">
        <v>-5</v>
      </c>
      <c r="L185" s="49">
        <v>1</v>
      </c>
      <c r="M185" s="3"/>
      <c r="N185" s="2"/>
    </row>
    <row r="186" spans="1:14" x14ac:dyDescent="0.25">
      <c r="A186" s="2" t="s">
        <v>540</v>
      </c>
      <c r="B186" s="2" t="s">
        <v>342</v>
      </c>
      <c r="C186" s="2">
        <v>13880</v>
      </c>
      <c r="D186" s="39">
        <v>32.9</v>
      </c>
      <c r="E186" s="39">
        <v>-80.03</v>
      </c>
      <c r="F186" s="2">
        <v>12</v>
      </c>
      <c r="G186" s="2">
        <v>4.3</v>
      </c>
      <c r="H186" s="2">
        <v>5.94</v>
      </c>
      <c r="I186" s="2">
        <v>5.97</v>
      </c>
      <c r="J186" s="46">
        <v>5.03</v>
      </c>
      <c r="K186" s="3">
        <v>-5</v>
      </c>
      <c r="L186" s="49">
        <v>1</v>
      </c>
      <c r="M186" s="3"/>
      <c r="N186" s="2"/>
    </row>
    <row r="187" spans="1:14" x14ac:dyDescent="0.25">
      <c r="A187" s="2" t="s">
        <v>541</v>
      </c>
      <c r="B187" s="2" t="s">
        <v>342</v>
      </c>
      <c r="C187" s="2">
        <v>13883</v>
      </c>
      <c r="D187" s="39">
        <v>33.950000000000003</v>
      </c>
      <c r="E187" s="39">
        <v>-81.12</v>
      </c>
      <c r="F187" s="2">
        <v>69</v>
      </c>
      <c r="G187" s="2">
        <v>4.18</v>
      </c>
      <c r="H187" s="2">
        <v>5.77</v>
      </c>
      <c r="I187" s="2">
        <v>6</v>
      </c>
      <c r="J187" s="46">
        <v>5.0199999999999996</v>
      </c>
      <c r="K187" s="3">
        <v>-5</v>
      </c>
      <c r="L187" s="49">
        <v>1</v>
      </c>
      <c r="M187" s="3"/>
      <c r="N187" s="2"/>
    </row>
    <row r="188" spans="1:14" x14ac:dyDescent="0.25">
      <c r="A188" s="2" t="s">
        <v>539</v>
      </c>
      <c r="B188" s="2" t="s">
        <v>342</v>
      </c>
      <c r="C188" s="2">
        <v>3870</v>
      </c>
      <c r="D188" s="39">
        <v>34.9</v>
      </c>
      <c r="E188" s="39">
        <v>-82.22</v>
      </c>
      <c r="F188" s="2">
        <v>296</v>
      </c>
      <c r="G188" s="2">
        <v>4.2</v>
      </c>
      <c r="H188" s="2">
        <v>5.71</v>
      </c>
      <c r="I188" s="2">
        <v>5.99</v>
      </c>
      <c r="J188" s="46">
        <v>4.99</v>
      </c>
      <c r="K188" s="3">
        <v>-5</v>
      </c>
      <c r="L188" s="49">
        <v>1</v>
      </c>
      <c r="M188" s="3"/>
      <c r="N188" s="2"/>
    </row>
    <row r="189" spans="1:14" x14ac:dyDescent="0.25">
      <c r="A189" s="2" t="s">
        <v>542</v>
      </c>
      <c r="B189" s="2" t="s">
        <v>343</v>
      </c>
      <c r="C189" s="2">
        <v>14936</v>
      </c>
      <c r="D189" s="39">
        <v>44.38</v>
      </c>
      <c r="E189" s="39">
        <v>-98.22</v>
      </c>
      <c r="F189" s="2">
        <v>393</v>
      </c>
      <c r="G189" s="2">
        <v>3.68</v>
      </c>
      <c r="H189" s="2">
        <v>5.38</v>
      </c>
      <c r="I189" s="2">
        <v>6.5</v>
      </c>
      <c r="J189" s="46">
        <v>4.51</v>
      </c>
      <c r="K189" s="3">
        <v>-6</v>
      </c>
      <c r="L189" s="49">
        <v>1</v>
      </c>
      <c r="M189" s="3"/>
      <c r="N189" s="2"/>
    </row>
    <row r="190" spans="1:14" x14ac:dyDescent="0.25">
      <c r="A190" s="2" t="s">
        <v>544</v>
      </c>
      <c r="B190" s="2" t="s">
        <v>343</v>
      </c>
      <c r="C190" s="2">
        <v>24025</v>
      </c>
      <c r="D190" s="39">
        <v>44.38</v>
      </c>
      <c r="E190" s="39">
        <v>-100.28</v>
      </c>
      <c r="F190" s="2">
        <v>526</v>
      </c>
      <c r="G190" s="2">
        <v>3.8</v>
      </c>
      <c r="H190" s="2">
        <v>5.58</v>
      </c>
      <c r="I190" s="2">
        <v>6.66</v>
      </c>
      <c r="J190" s="46">
        <v>4.7300000000000004</v>
      </c>
      <c r="K190" s="3">
        <v>-6</v>
      </c>
      <c r="L190" s="49">
        <v>1</v>
      </c>
      <c r="M190" s="3"/>
      <c r="N190" s="2"/>
    </row>
    <row r="191" spans="1:14" x14ac:dyDescent="0.25">
      <c r="A191" s="2" t="s">
        <v>545</v>
      </c>
      <c r="B191" s="2" t="s">
        <v>343</v>
      </c>
      <c r="C191" s="2">
        <v>24090</v>
      </c>
      <c r="D191" s="39">
        <v>44.05</v>
      </c>
      <c r="E191" s="39">
        <v>-103.07</v>
      </c>
      <c r="F191" s="2">
        <v>966</v>
      </c>
      <c r="G191" s="2">
        <v>4.0999999999999996</v>
      </c>
      <c r="H191" s="2">
        <v>5.67</v>
      </c>
      <c r="I191" s="2">
        <v>6.71</v>
      </c>
      <c r="J191" s="46">
        <v>5.0599999999999996</v>
      </c>
      <c r="K191" s="3">
        <v>-6</v>
      </c>
      <c r="L191" s="49">
        <v>1</v>
      </c>
      <c r="M191" s="3"/>
      <c r="N191" s="2"/>
    </row>
    <row r="192" spans="1:14" x14ac:dyDescent="0.25">
      <c r="A192" s="2" t="s">
        <v>543</v>
      </c>
      <c r="B192" s="2" t="s">
        <v>343</v>
      </c>
      <c r="C192" s="2">
        <v>14944</v>
      </c>
      <c r="D192" s="39">
        <v>43.57</v>
      </c>
      <c r="E192" s="39">
        <v>-96.73</v>
      </c>
      <c r="F192" s="2">
        <v>435</v>
      </c>
      <c r="G192" s="2">
        <v>3.8</v>
      </c>
      <c r="H192" s="2">
        <v>5.39</v>
      </c>
      <c r="I192" s="2">
        <v>6.38</v>
      </c>
      <c r="J192" s="46">
        <v>4.46</v>
      </c>
      <c r="K192" s="3">
        <v>-6</v>
      </c>
      <c r="L192" s="49">
        <v>1</v>
      </c>
      <c r="M192" s="3"/>
      <c r="N192" s="2"/>
    </row>
    <row r="193" spans="1:14" x14ac:dyDescent="0.25">
      <c r="A193" s="2" t="s">
        <v>546</v>
      </c>
      <c r="B193" s="2" t="s">
        <v>344</v>
      </c>
      <c r="C193" s="2">
        <v>13877</v>
      </c>
      <c r="D193" s="39">
        <v>36.479999999999997</v>
      </c>
      <c r="E193" s="39">
        <v>-82.4</v>
      </c>
      <c r="F193" s="2">
        <v>459</v>
      </c>
      <c r="G193" s="2">
        <v>3.49</v>
      </c>
      <c r="H193" s="2">
        <v>5.27</v>
      </c>
      <c r="I193" s="2">
        <v>5.85</v>
      </c>
      <c r="J193" s="46">
        <v>4.54</v>
      </c>
      <c r="K193" s="3">
        <v>-6</v>
      </c>
      <c r="L193" s="49">
        <v>1</v>
      </c>
      <c r="M193" s="3"/>
      <c r="N193" s="2"/>
    </row>
    <row r="194" spans="1:14" x14ac:dyDescent="0.25">
      <c r="A194" s="2" t="s">
        <v>547</v>
      </c>
      <c r="B194" s="2" t="s">
        <v>344</v>
      </c>
      <c r="C194" s="2">
        <v>13882</v>
      </c>
      <c r="D194" s="39">
        <v>35.03</v>
      </c>
      <c r="E194" s="39">
        <v>-85.2</v>
      </c>
      <c r="F194" s="2">
        <v>210</v>
      </c>
      <c r="G194" s="2">
        <v>3.65</v>
      </c>
      <c r="H194" s="2">
        <v>5.36</v>
      </c>
      <c r="I194" s="2">
        <v>5.88</v>
      </c>
      <c r="J194" s="46">
        <v>4.6399999999999997</v>
      </c>
      <c r="K194" s="3">
        <v>-6</v>
      </c>
      <c r="L194" s="49">
        <v>1</v>
      </c>
      <c r="M194" s="3"/>
      <c r="N194" s="2"/>
    </row>
    <row r="195" spans="1:14" x14ac:dyDescent="0.25">
      <c r="A195" s="2" t="s">
        <v>548</v>
      </c>
      <c r="B195" s="2" t="s">
        <v>344</v>
      </c>
      <c r="C195" s="2">
        <v>13891</v>
      </c>
      <c r="D195" s="39">
        <v>35.82</v>
      </c>
      <c r="E195" s="39">
        <v>-83.98</v>
      </c>
      <c r="F195" s="2">
        <v>299</v>
      </c>
      <c r="G195" s="2">
        <v>3.55</v>
      </c>
      <c r="H195" s="2">
        <v>5.33</v>
      </c>
      <c r="I195" s="2">
        <v>5.94</v>
      </c>
      <c r="J195" s="46">
        <v>4.5999999999999996</v>
      </c>
      <c r="K195" s="3">
        <v>-6</v>
      </c>
      <c r="L195" s="49">
        <v>1</v>
      </c>
      <c r="M195" s="3"/>
      <c r="N195" s="2"/>
    </row>
    <row r="196" spans="1:14" x14ac:dyDescent="0.25">
      <c r="A196" s="2" t="s">
        <v>549</v>
      </c>
      <c r="B196" s="2" t="s">
        <v>344</v>
      </c>
      <c r="C196" s="2">
        <v>13893</v>
      </c>
      <c r="D196" s="39">
        <v>35.049999999999997</v>
      </c>
      <c r="E196" s="39">
        <v>-89.98</v>
      </c>
      <c r="F196" s="2">
        <v>87</v>
      </c>
      <c r="G196" s="2">
        <v>3.89</v>
      </c>
      <c r="H196" s="2">
        <v>5.6</v>
      </c>
      <c r="I196" s="2">
        <v>6.44</v>
      </c>
      <c r="J196" s="46">
        <v>4.9400000000000004</v>
      </c>
      <c r="K196" s="3">
        <v>-6</v>
      </c>
      <c r="L196" s="49">
        <v>1</v>
      </c>
      <c r="M196" s="3"/>
      <c r="N196" s="2"/>
    </row>
    <row r="197" spans="1:14" x14ac:dyDescent="0.25">
      <c r="A197" s="2" t="s">
        <v>550</v>
      </c>
      <c r="B197" s="2" t="s">
        <v>344</v>
      </c>
      <c r="C197" s="2">
        <v>13897</v>
      </c>
      <c r="D197" s="39">
        <v>36.119999999999997</v>
      </c>
      <c r="E197" s="39">
        <v>-86.68</v>
      </c>
      <c r="F197" s="2">
        <v>180</v>
      </c>
      <c r="G197" s="2">
        <v>3.67</v>
      </c>
      <c r="H197" s="2">
        <v>5.52</v>
      </c>
      <c r="I197" s="2">
        <v>6.24</v>
      </c>
      <c r="J197" s="46">
        <v>4.68</v>
      </c>
      <c r="K197" s="3">
        <v>-6</v>
      </c>
      <c r="L197" s="49">
        <v>1</v>
      </c>
      <c r="M197" s="3"/>
      <c r="N197" s="2"/>
    </row>
    <row r="198" spans="1:14" x14ac:dyDescent="0.25">
      <c r="A198" s="2" t="s">
        <v>560</v>
      </c>
      <c r="B198" s="2" t="s">
        <v>345</v>
      </c>
      <c r="C198" s="2">
        <v>13962</v>
      </c>
      <c r="D198" s="39">
        <v>32.43</v>
      </c>
      <c r="E198" s="39">
        <v>-99.68</v>
      </c>
      <c r="F198" s="2">
        <v>534</v>
      </c>
      <c r="G198" s="2">
        <v>4.9800000000000004</v>
      </c>
      <c r="H198" s="2">
        <v>6.31</v>
      </c>
      <c r="I198" s="2">
        <v>6.81</v>
      </c>
      <c r="J198" s="46">
        <v>5.6</v>
      </c>
      <c r="K198" s="3">
        <v>-6</v>
      </c>
      <c r="L198" s="49">
        <v>1</v>
      </c>
      <c r="M198" s="3"/>
      <c r="N198" s="2"/>
    </row>
    <row r="199" spans="1:14" x14ac:dyDescent="0.25">
      <c r="A199" s="2" t="s">
        <v>566</v>
      </c>
      <c r="B199" s="2" t="s">
        <v>345</v>
      </c>
      <c r="C199" s="2">
        <v>23047</v>
      </c>
      <c r="D199" s="39">
        <v>35.229999999999997</v>
      </c>
      <c r="E199" s="39">
        <v>-101.7</v>
      </c>
      <c r="F199" s="2">
        <v>1098</v>
      </c>
      <c r="G199" s="2">
        <v>5.2</v>
      </c>
      <c r="H199" s="2">
        <v>6.38</v>
      </c>
      <c r="I199" s="2">
        <v>6.88</v>
      </c>
      <c r="J199" s="46">
        <v>5.79</v>
      </c>
      <c r="K199" s="3">
        <v>-6</v>
      </c>
      <c r="L199" s="49">
        <v>1</v>
      </c>
      <c r="M199" s="3"/>
      <c r="N199" s="2"/>
    </row>
    <row r="200" spans="1:14" x14ac:dyDescent="0.25">
      <c r="A200" s="2" t="s">
        <v>558</v>
      </c>
      <c r="B200" s="2" t="s">
        <v>345</v>
      </c>
      <c r="C200" s="2">
        <v>13958</v>
      </c>
      <c r="D200" s="39">
        <v>30.3</v>
      </c>
      <c r="E200" s="39">
        <v>-97.7</v>
      </c>
      <c r="F200" s="2">
        <v>189</v>
      </c>
      <c r="G200" s="2">
        <v>4.4000000000000004</v>
      </c>
      <c r="H200" s="2">
        <v>5.6</v>
      </c>
      <c r="I200" s="2">
        <v>6.62</v>
      </c>
      <c r="J200" s="46">
        <v>5.35</v>
      </c>
      <c r="K200" s="3">
        <v>-6</v>
      </c>
      <c r="L200" s="49">
        <v>1</v>
      </c>
      <c r="M200" s="3"/>
      <c r="N200" s="2"/>
    </row>
    <row r="201" spans="1:14" x14ac:dyDescent="0.25">
      <c r="A201" s="2" t="s">
        <v>554</v>
      </c>
      <c r="B201" s="2" t="s">
        <v>345</v>
      </c>
      <c r="C201" s="2">
        <v>12919</v>
      </c>
      <c r="D201" s="39">
        <v>25.9</v>
      </c>
      <c r="E201" s="39">
        <v>-97.43</v>
      </c>
      <c r="F201" s="2">
        <v>6</v>
      </c>
      <c r="G201" s="2">
        <v>3.79</v>
      </c>
      <c r="H201" s="2">
        <v>5.38</v>
      </c>
      <c r="I201" s="2">
        <v>6.31</v>
      </c>
      <c r="J201" s="46">
        <v>5.16</v>
      </c>
      <c r="K201" s="3">
        <v>-6</v>
      </c>
      <c r="L201" s="49">
        <v>1</v>
      </c>
      <c r="M201" s="3"/>
      <c r="N201" s="2"/>
    </row>
    <row r="202" spans="1:14" x14ac:dyDescent="0.25">
      <c r="A202" s="2" t="s">
        <v>556</v>
      </c>
      <c r="B202" s="2" t="s">
        <v>345</v>
      </c>
      <c r="C202" s="2">
        <v>12924</v>
      </c>
      <c r="D202" s="39">
        <v>27.77</v>
      </c>
      <c r="E202" s="39">
        <v>-97.5</v>
      </c>
      <c r="F202" s="2">
        <v>13</v>
      </c>
      <c r="G202" s="2">
        <v>3.82</v>
      </c>
      <c r="H202" s="2">
        <v>5.16</v>
      </c>
      <c r="I202" s="2">
        <v>6.08</v>
      </c>
      <c r="J202" s="46">
        <v>5.0999999999999996</v>
      </c>
      <c r="K202" s="3">
        <v>-6</v>
      </c>
      <c r="L202" s="49">
        <v>1</v>
      </c>
      <c r="M202" s="3"/>
      <c r="N202" s="2"/>
    </row>
    <row r="203" spans="1:14" x14ac:dyDescent="0.25">
      <c r="A203" s="2" t="s">
        <v>565</v>
      </c>
      <c r="B203" s="2" t="s">
        <v>345</v>
      </c>
      <c r="C203" s="2">
        <v>23044</v>
      </c>
      <c r="D203" s="39">
        <v>31.8</v>
      </c>
      <c r="E203" s="39">
        <v>-106.4</v>
      </c>
      <c r="F203" s="2">
        <v>1194</v>
      </c>
      <c r="G203" s="2">
        <v>5.78</v>
      </c>
      <c r="H203" s="2">
        <v>7.38</v>
      </c>
      <c r="I203" s="2">
        <v>7.44</v>
      </c>
      <c r="J203" s="46">
        <v>6.39</v>
      </c>
      <c r="K203" s="3">
        <v>-6</v>
      </c>
      <c r="L203" s="49">
        <v>1</v>
      </c>
      <c r="M203" s="3"/>
      <c r="N203" s="2"/>
    </row>
    <row r="204" spans="1:14" x14ac:dyDescent="0.25">
      <c r="A204" s="2" t="s">
        <v>551</v>
      </c>
      <c r="B204" s="2" t="s">
        <v>345</v>
      </c>
      <c r="C204" s="2">
        <v>3927</v>
      </c>
      <c r="D204" s="39">
        <v>32.83</v>
      </c>
      <c r="E204" s="39">
        <v>-97.05</v>
      </c>
      <c r="F204" s="2">
        <v>164</v>
      </c>
      <c r="G204" s="2">
        <v>4.53</v>
      </c>
      <c r="H204" s="2">
        <v>5.84</v>
      </c>
      <c r="I204" s="2">
        <v>6.82</v>
      </c>
      <c r="J204" s="46">
        <v>5.35</v>
      </c>
      <c r="K204" s="3">
        <v>-6</v>
      </c>
      <c r="L204" s="49">
        <v>1</v>
      </c>
      <c r="M204" s="3"/>
      <c r="N204" s="2"/>
    </row>
    <row r="205" spans="1:14" x14ac:dyDescent="0.25">
      <c r="A205" s="2" t="s">
        <v>557</v>
      </c>
      <c r="B205" s="2" t="s">
        <v>345</v>
      </c>
      <c r="C205" s="2">
        <v>12960</v>
      </c>
      <c r="D205" s="39">
        <v>29.98</v>
      </c>
      <c r="E205" s="39">
        <v>-95.37</v>
      </c>
      <c r="F205" s="2">
        <v>33</v>
      </c>
      <c r="G205" s="2">
        <v>3.75</v>
      </c>
      <c r="H205" s="2">
        <v>5.16</v>
      </c>
      <c r="I205" s="2">
        <v>5.89</v>
      </c>
      <c r="J205" s="46">
        <v>4.95</v>
      </c>
      <c r="K205" s="3">
        <v>-6</v>
      </c>
      <c r="L205" s="49">
        <v>1</v>
      </c>
      <c r="M205" s="3"/>
      <c r="N205" s="2"/>
    </row>
    <row r="206" spans="1:14" x14ac:dyDescent="0.25">
      <c r="A206" s="2" t="s">
        <v>564</v>
      </c>
      <c r="B206" s="2" t="s">
        <v>345</v>
      </c>
      <c r="C206" s="2">
        <v>23042</v>
      </c>
      <c r="D206" s="39">
        <v>33.65</v>
      </c>
      <c r="E206" s="39">
        <v>-101.82</v>
      </c>
      <c r="F206" s="2">
        <v>988</v>
      </c>
      <c r="G206" s="2">
        <v>5.18</v>
      </c>
      <c r="H206" s="2">
        <v>6.45</v>
      </c>
      <c r="I206" s="2">
        <v>6.85</v>
      </c>
      <c r="J206" s="46">
        <v>5.76</v>
      </c>
      <c r="K206" s="3">
        <v>-6</v>
      </c>
      <c r="L206" s="49">
        <v>1</v>
      </c>
      <c r="M206" s="3"/>
      <c r="N206" s="2"/>
    </row>
    <row r="207" spans="1:14" x14ac:dyDescent="0.25">
      <c r="A207" s="2" t="s">
        <v>567</v>
      </c>
      <c r="B207" s="2" t="s">
        <v>345</v>
      </c>
      <c r="C207" s="2">
        <v>93987</v>
      </c>
      <c r="D207" s="39">
        <v>31.23</v>
      </c>
      <c r="E207" s="39">
        <v>-94.75</v>
      </c>
      <c r="F207" s="2">
        <v>96</v>
      </c>
      <c r="G207" s="2">
        <v>4.01</v>
      </c>
      <c r="H207" s="2">
        <v>5.49</v>
      </c>
      <c r="I207" s="2">
        <v>6.31</v>
      </c>
      <c r="J207" s="46">
        <v>5.18</v>
      </c>
      <c r="K207" s="3">
        <v>-6</v>
      </c>
      <c r="L207" s="49">
        <v>1</v>
      </c>
      <c r="M207" s="3"/>
      <c r="N207" s="2"/>
    </row>
    <row r="208" spans="1:14" x14ac:dyDescent="0.25">
      <c r="A208" s="2" t="s">
        <v>562</v>
      </c>
      <c r="B208" s="2" t="s">
        <v>345</v>
      </c>
      <c r="C208" s="2">
        <v>23023</v>
      </c>
      <c r="D208" s="39">
        <v>31.93</v>
      </c>
      <c r="E208" s="39">
        <v>-102.2</v>
      </c>
      <c r="F208" s="2">
        <v>871</v>
      </c>
      <c r="G208" s="2">
        <v>5.33</v>
      </c>
      <c r="H208" s="2">
        <v>6.73</v>
      </c>
      <c r="I208" s="2">
        <v>6.98</v>
      </c>
      <c r="J208" s="46">
        <v>5.9</v>
      </c>
      <c r="K208" s="3">
        <v>-6</v>
      </c>
      <c r="L208" s="49">
        <v>1</v>
      </c>
      <c r="M208" s="3"/>
      <c r="N208" s="2"/>
    </row>
    <row r="209" spans="1:14" x14ac:dyDescent="0.25">
      <c r="A209" s="2" t="s">
        <v>553</v>
      </c>
      <c r="B209" s="2" t="s">
        <v>345</v>
      </c>
      <c r="C209" s="2">
        <v>12917</v>
      </c>
      <c r="D209" s="39">
        <v>29.95</v>
      </c>
      <c r="E209" s="39">
        <v>-94.02</v>
      </c>
      <c r="F209" s="2">
        <v>7</v>
      </c>
      <c r="G209" s="2">
        <v>3.9</v>
      </c>
      <c r="H209" s="2">
        <v>5.32</v>
      </c>
      <c r="I209" s="2">
        <v>6.05</v>
      </c>
      <c r="J209" s="46">
        <v>5.08</v>
      </c>
      <c r="K209" s="3">
        <v>-6</v>
      </c>
      <c r="L209" s="49">
        <v>1</v>
      </c>
      <c r="M209" s="3"/>
      <c r="N209" s="2"/>
    </row>
    <row r="210" spans="1:14" x14ac:dyDescent="0.25">
      <c r="A210" s="2" t="s">
        <v>563</v>
      </c>
      <c r="B210" s="2" t="s">
        <v>345</v>
      </c>
      <c r="C210" s="2">
        <v>23034</v>
      </c>
      <c r="D210" s="39">
        <v>31.37</v>
      </c>
      <c r="E210" s="39">
        <v>-100.5</v>
      </c>
      <c r="F210" s="2">
        <v>582</v>
      </c>
      <c r="G210" s="2">
        <v>5.03</v>
      </c>
      <c r="H210" s="2">
        <v>6.3</v>
      </c>
      <c r="I210" s="2">
        <v>6.8</v>
      </c>
      <c r="J210" s="46">
        <v>5.65</v>
      </c>
      <c r="K210" s="3">
        <v>-6</v>
      </c>
      <c r="L210" s="49">
        <v>1</v>
      </c>
      <c r="M210" s="3"/>
      <c r="N210" s="2"/>
    </row>
    <row r="211" spans="1:14" x14ac:dyDescent="0.25">
      <c r="A211" s="2" t="s">
        <v>555</v>
      </c>
      <c r="B211" s="2" t="s">
        <v>345</v>
      </c>
      <c r="C211" s="2">
        <v>12921</v>
      </c>
      <c r="D211" s="39">
        <v>29.53</v>
      </c>
      <c r="E211" s="39">
        <v>-98.47</v>
      </c>
      <c r="F211" s="2">
        <v>242</v>
      </c>
      <c r="G211" s="2">
        <v>4.4400000000000004</v>
      </c>
      <c r="H211" s="2">
        <v>5.67</v>
      </c>
      <c r="I211" s="2">
        <v>6.69</v>
      </c>
      <c r="J211" s="46">
        <v>5.45</v>
      </c>
      <c r="K211" s="3">
        <v>-6</v>
      </c>
      <c r="L211" s="49">
        <v>1</v>
      </c>
      <c r="M211" s="3"/>
      <c r="N211" s="2"/>
    </row>
    <row r="212" spans="1:14" x14ac:dyDescent="0.25">
      <c r="A212" s="2" t="s">
        <v>552</v>
      </c>
      <c r="B212" s="2" t="s">
        <v>345</v>
      </c>
      <c r="C212" s="2">
        <v>12912</v>
      </c>
      <c r="D212" s="39">
        <v>28.85</v>
      </c>
      <c r="E212" s="39">
        <v>-96.92</v>
      </c>
      <c r="F212" s="2">
        <v>32</v>
      </c>
      <c r="G212" s="2">
        <v>3.92</v>
      </c>
      <c r="H212" s="2">
        <v>5.23</v>
      </c>
      <c r="I212" s="2">
        <v>6.11</v>
      </c>
      <c r="J212" s="46">
        <v>5.12</v>
      </c>
      <c r="K212" s="3">
        <v>-6</v>
      </c>
      <c r="L212" s="49">
        <v>1</v>
      </c>
      <c r="M212" s="3"/>
      <c r="N212" s="2"/>
    </row>
    <row r="213" spans="1:14" x14ac:dyDescent="0.25">
      <c r="A213" s="2" t="s">
        <v>559</v>
      </c>
      <c r="B213" s="2" t="s">
        <v>345</v>
      </c>
      <c r="C213" s="2">
        <v>13959</v>
      </c>
      <c r="D213" s="39">
        <v>31.62</v>
      </c>
      <c r="E213" s="39">
        <v>-97.22</v>
      </c>
      <c r="F213" s="2">
        <v>155</v>
      </c>
      <c r="G213" s="2">
        <v>4.46</v>
      </c>
      <c r="H213" s="2">
        <v>5.71</v>
      </c>
      <c r="I213" s="2">
        <v>6.72</v>
      </c>
      <c r="J213" s="46">
        <v>5.37</v>
      </c>
      <c r="K213" s="3">
        <v>-6</v>
      </c>
      <c r="L213" s="49">
        <v>1</v>
      </c>
      <c r="M213" s="3"/>
      <c r="N213" s="2"/>
    </row>
    <row r="214" spans="1:14" x14ac:dyDescent="0.25">
      <c r="A214" s="2" t="s">
        <v>561</v>
      </c>
      <c r="B214" s="2" t="s">
        <v>345</v>
      </c>
      <c r="C214" s="2">
        <v>13966</v>
      </c>
      <c r="D214" s="39">
        <v>33.97</v>
      </c>
      <c r="E214" s="39">
        <v>-98.48</v>
      </c>
      <c r="F214" s="2">
        <v>314</v>
      </c>
      <c r="G214" s="2">
        <v>4.68</v>
      </c>
      <c r="H214" s="2">
        <v>6.04</v>
      </c>
      <c r="I214" s="2">
        <v>6.81</v>
      </c>
      <c r="J214" s="46">
        <v>5.44</v>
      </c>
      <c r="K214" s="3">
        <v>-6</v>
      </c>
      <c r="L214" s="49">
        <v>1</v>
      </c>
      <c r="M214" s="3"/>
      <c r="N214" s="2"/>
    </row>
    <row r="215" spans="1:14" x14ac:dyDescent="0.25">
      <c r="A215" s="2" t="s">
        <v>569</v>
      </c>
      <c r="B215" s="2" t="s">
        <v>346</v>
      </c>
      <c r="C215" s="2">
        <v>93129</v>
      </c>
      <c r="D215" s="39">
        <v>37.700000000000003</v>
      </c>
      <c r="E215" s="39">
        <v>-113.1</v>
      </c>
      <c r="F215" s="2">
        <v>1712</v>
      </c>
      <c r="G215" s="2">
        <v>4.99</v>
      </c>
      <c r="H215" s="2">
        <v>6.37</v>
      </c>
      <c r="I215" s="2">
        <v>7.29</v>
      </c>
      <c r="J215" s="46">
        <v>6.03</v>
      </c>
      <c r="K215" s="3">
        <v>-7</v>
      </c>
      <c r="L215" s="49">
        <v>1</v>
      </c>
      <c r="M215" s="3"/>
      <c r="N215" s="2"/>
    </row>
    <row r="216" spans="1:14" x14ac:dyDescent="0.25">
      <c r="A216" s="2" t="s">
        <v>568</v>
      </c>
      <c r="B216" s="2" t="s">
        <v>346</v>
      </c>
      <c r="C216" s="2">
        <v>24127</v>
      </c>
      <c r="D216" s="39">
        <v>40.770000000000003</v>
      </c>
      <c r="E216" s="39">
        <v>-111.97</v>
      </c>
      <c r="F216" s="2">
        <v>1288</v>
      </c>
      <c r="G216" s="2">
        <v>3.58</v>
      </c>
      <c r="H216" s="2">
        <v>5.89</v>
      </c>
      <c r="I216" s="2">
        <v>7.21</v>
      </c>
      <c r="J216" s="46">
        <v>5.26</v>
      </c>
      <c r="K216" s="3">
        <v>-7</v>
      </c>
      <c r="L216" s="49">
        <v>1</v>
      </c>
      <c r="M216" s="3"/>
      <c r="N216" s="2"/>
    </row>
    <row r="217" spans="1:14" x14ac:dyDescent="0.25">
      <c r="A217" s="2" t="s">
        <v>570</v>
      </c>
      <c r="B217" s="2" t="s">
        <v>347</v>
      </c>
      <c r="C217" s="2">
        <v>13733</v>
      </c>
      <c r="D217" s="39">
        <v>37.33</v>
      </c>
      <c r="E217" s="39">
        <v>-79.2</v>
      </c>
      <c r="F217" s="2">
        <v>279</v>
      </c>
      <c r="G217" s="2">
        <v>4.1500000000000004</v>
      </c>
      <c r="H217" s="2">
        <v>5.69</v>
      </c>
      <c r="I217" s="2">
        <v>6.17</v>
      </c>
      <c r="J217" s="46">
        <v>4.88</v>
      </c>
      <c r="K217" s="3">
        <v>-5</v>
      </c>
      <c r="L217" s="49">
        <v>1</v>
      </c>
      <c r="M217" s="3"/>
      <c r="N217" s="2"/>
    </row>
    <row r="218" spans="1:14" x14ac:dyDescent="0.25">
      <c r="A218" s="2" t="s">
        <v>571</v>
      </c>
      <c r="B218" s="2" t="s">
        <v>347</v>
      </c>
      <c r="C218" s="2">
        <v>13737</v>
      </c>
      <c r="D218" s="39">
        <v>36.9</v>
      </c>
      <c r="E218" s="39">
        <v>-76.2</v>
      </c>
      <c r="F218" s="2">
        <v>9</v>
      </c>
      <c r="G218" s="2">
        <v>3.83</v>
      </c>
      <c r="H218" s="2">
        <v>5.39</v>
      </c>
      <c r="I218" s="2">
        <v>5.89</v>
      </c>
      <c r="J218" s="46">
        <v>4.63</v>
      </c>
      <c r="K218" s="3">
        <v>-5</v>
      </c>
      <c r="L218" s="49">
        <v>1</v>
      </c>
      <c r="M218" s="3"/>
      <c r="N218" s="2"/>
    </row>
    <row r="219" spans="1:14" x14ac:dyDescent="0.25">
      <c r="A219" s="2" t="s">
        <v>572</v>
      </c>
      <c r="B219" s="2" t="s">
        <v>347</v>
      </c>
      <c r="C219" s="2">
        <v>13740</v>
      </c>
      <c r="D219" s="39">
        <v>37.5</v>
      </c>
      <c r="E219" s="39">
        <v>-77.33</v>
      </c>
      <c r="F219" s="2">
        <v>50</v>
      </c>
      <c r="G219" s="2">
        <v>3.86</v>
      </c>
      <c r="H219" s="2">
        <v>5.44</v>
      </c>
      <c r="I219" s="2">
        <v>5.96</v>
      </c>
      <c r="J219" s="46">
        <v>4.67</v>
      </c>
      <c r="K219" s="3">
        <v>-5</v>
      </c>
      <c r="L219" s="49">
        <v>1</v>
      </c>
      <c r="M219" s="3"/>
      <c r="N219" s="2"/>
    </row>
    <row r="220" spans="1:14" x14ac:dyDescent="0.25">
      <c r="A220" s="2" t="s">
        <v>573</v>
      </c>
      <c r="B220" s="2" t="s">
        <v>347</v>
      </c>
      <c r="C220" s="2">
        <v>13741</v>
      </c>
      <c r="D220" s="39">
        <v>37.32</v>
      </c>
      <c r="E220" s="39">
        <v>-79.97</v>
      </c>
      <c r="F220" s="2">
        <v>358</v>
      </c>
      <c r="G220" s="2">
        <v>3.91</v>
      </c>
      <c r="H220" s="2">
        <v>5.47</v>
      </c>
      <c r="I220" s="2">
        <v>5.93</v>
      </c>
      <c r="J220" s="46">
        <v>4.71</v>
      </c>
      <c r="K220" s="3">
        <v>-5</v>
      </c>
      <c r="L220" s="49">
        <v>1</v>
      </c>
      <c r="M220" s="3"/>
      <c r="N220" s="2"/>
    </row>
    <row r="221" spans="1:14" x14ac:dyDescent="0.25">
      <c r="A221" s="2" t="s">
        <v>574</v>
      </c>
      <c r="B221" s="2" t="s">
        <v>347</v>
      </c>
      <c r="C221" s="2">
        <v>93738</v>
      </c>
      <c r="D221" s="39">
        <v>38.950000000000003</v>
      </c>
      <c r="E221" s="39">
        <v>-77.45</v>
      </c>
      <c r="F221" s="2">
        <v>82</v>
      </c>
      <c r="G221" s="2">
        <v>3.69</v>
      </c>
      <c r="H221" s="2">
        <v>5.34</v>
      </c>
      <c r="I221" s="2">
        <v>5.98</v>
      </c>
      <c r="J221" s="46">
        <v>4.49</v>
      </c>
      <c r="K221" s="3">
        <v>-5</v>
      </c>
      <c r="L221" s="49">
        <v>1</v>
      </c>
      <c r="M221" s="3"/>
      <c r="N221" s="2"/>
    </row>
    <row r="222" spans="1:14" x14ac:dyDescent="0.25">
      <c r="A222" s="2" t="s">
        <v>575</v>
      </c>
      <c r="B222" s="2" t="s">
        <v>348</v>
      </c>
      <c r="C222" s="2">
        <v>14742</v>
      </c>
      <c r="D222" s="39">
        <v>44.47</v>
      </c>
      <c r="E222" s="39">
        <v>-73.150000000000006</v>
      </c>
      <c r="F222" s="2">
        <v>104</v>
      </c>
      <c r="G222" s="2">
        <v>3.09</v>
      </c>
      <c r="H222" s="2">
        <v>5.0999999999999996</v>
      </c>
      <c r="I222" s="2">
        <v>5.89</v>
      </c>
      <c r="J222" s="46">
        <v>3.62</v>
      </c>
      <c r="K222" s="3">
        <v>-5</v>
      </c>
      <c r="L222" s="49">
        <v>1</v>
      </c>
      <c r="M222" s="3"/>
      <c r="N222" s="2"/>
    </row>
    <row r="223" spans="1:14" x14ac:dyDescent="0.25">
      <c r="A223" s="2" t="s">
        <v>577</v>
      </c>
      <c r="B223" s="2" t="s">
        <v>349</v>
      </c>
      <c r="C223" s="2">
        <v>24227</v>
      </c>
      <c r="D223" s="39">
        <v>46.97</v>
      </c>
      <c r="E223" s="39">
        <v>-122.9</v>
      </c>
      <c r="F223" s="2">
        <v>61</v>
      </c>
      <c r="G223" s="2">
        <v>1.72</v>
      </c>
      <c r="H223" s="2">
        <v>4.28</v>
      </c>
      <c r="I223" s="2">
        <v>5.64</v>
      </c>
      <c r="J223" s="46">
        <v>3.14</v>
      </c>
      <c r="K223" s="3">
        <v>-8</v>
      </c>
      <c r="L223" s="49">
        <v>1</v>
      </c>
      <c r="M223" s="3"/>
      <c r="N223" s="2"/>
    </row>
    <row r="224" spans="1:14" x14ac:dyDescent="0.25">
      <c r="A224" s="2" t="s">
        <v>580</v>
      </c>
      <c r="B224" s="2" t="s">
        <v>349</v>
      </c>
      <c r="C224" s="2">
        <v>94240</v>
      </c>
      <c r="D224" s="39">
        <v>47.95</v>
      </c>
      <c r="E224" s="39">
        <v>-124.55</v>
      </c>
      <c r="F224" s="2">
        <v>55</v>
      </c>
      <c r="G224" s="2">
        <v>1.86</v>
      </c>
      <c r="H224" s="2">
        <v>4.0599999999999996</v>
      </c>
      <c r="I224" s="2">
        <v>5.0599999999999996</v>
      </c>
      <c r="J224" s="46">
        <v>3.14</v>
      </c>
      <c r="K224" s="3">
        <v>-8</v>
      </c>
      <c r="L224" s="49">
        <v>1</v>
      </c>
      <c r="M224" s="3"/>
      <c r="N224" s="2"/>
    </row>
    <row r="225" spans="1:14" x14ac:dyDescent="0.25">
      <c r="A225" s="2" t="s">
        <v>578</v>
      </c>
      <c r="B225" s="2" t="s">
        <v>349</v>
      </c>
      <c r="C225" s="2">
        <v>24233</v>
      </c>
      <c r="D225" s="39">
        <v>47.45</v>
      </c>
      <c r="E225" s="39">
        <v>-122.3</v>
      </c>
      <c r="F225" s="2">
        <v>122</v>
      </c>
      <c r="G225" s="2">
        <v>1.83</v>
      </c>
      <c r="H225" s="2">
        <v>4.53</v>
      </c>
      <c r="I225" s="2">
        <v>5.84</v>
      </c>
      <c r="J225" s="46">
        <v>3.22</v>
      </c>
      <c r="K225" s="3">
        <v>-8</v>
      </c>
      <c r="L225" s="49">
        <v>1</v>
      </c>
      <c r="M225" s="3"/>
      <c r="N225" s="2"/>
    </row>
    <row r="226" spans="1:14" x14ac:dyDescent="0.25">
      <c r="A226" s="2" t="s">
        <v>576</v>
      </c>
      <c r="B226" s="2" t="s">
        <v>349</v>
      </c>
      <c r="C226" s="2">
        <v>24157</v>
      </c>
      <c r="D226" s="39">
        <v>47.63</v>
      </c>
      <c r="E226" s="39">
        <v>-117.53</v>
      </c>
      <c r="F226" s="2">
        <v>721</v>
      </c>
      <c r="G226" s="2">
        <v>2.5499999999999998</v>
      </c>
      <c r="H226" s="2">
        <v>5.2</v>
      </c>
      <c r="I226" s="2">
        <v>6.69</v>
      </c>
      <c r="J226" s="46">
        <v>4.1500000000000004</v>
      </c>
      <c r="K226" s="3">
        <v>-8</v>
      </c>
      <c r="L226" s="49">
        <v>1</v>
      </c>
      <c r="M226" s="3"/>
      <c r="N226" s="2"/>
    </row>
    <row r="227" spans="1:14" x14ac:dyDescent="0.25">
      <c r="A227" s="2" t="s">
        <v>579</v>
      </c>
      <c r="B227" s="2" t="s">
        <v>349</v>
      </c>
      <c r="C227" s="2">
        <v>24243</v>
      </c>
      <c r="D227" s="39">
        <v>46.57</v>
      </c>
      <c r="E227" s="39">
        <v>-120.53</v>
      </c>
      <c r="F227" s="2">
        <v>325</v>
      </c>
      <c r="G227" s="2">
        <v>2.78</v>
      </c>
      <c r="H227" s="2">
        <v>5.65</v>
      </c>
      <c r="I227" s="2">
        <v>6.97</v>
      </c>
      <c r="J227" s="46">
        <v>4.57</v>
      </c>
      <c r="K227" s="3">
        <v>-8</v>
      </c>
      <c r="L227" s="49">
        <v>1</v>
      </c>
      <c r="M227" s="3"/>
      <c r="N227" s="2"/>
    </row>
    <row r="228" spans="1:14" x14ac:dyDescent="0.25">
      <c r="A228" s="2" t="s">
        <v>585</v>
      </c>
      <c r="B228" s="2" t="s">
        <v>350</v>
      </c>
      <c r="C228" s="2">
        <v>14991</v>
      </c>
      <c r="D228" s="39">
        <v>44.87</v>
      </c>
      <c r="E228" s="39">
        <v>-91.48</v>
      </c>
      <c r="F228" s="2">
        <v>273</v>
      </c>
      <c r="G228" s="2">
        <v>3.61</v>
      </c>
      <c r="H228" s="2">
        <v>5.23</v>
      </c>
      <c r="I228" s="2">
        <v>5.91</v>
      </c>
      <c r="J228" s="46">
        <v>3.77</v>
      </c>
      <c r="K228" s="3">
        <v>-6</v>
      </c>
      <c r="L228" s="49">
        <v>1</v>
      </c>
      <c r="M228" s="3"/>
      <c r="N228" s="2"/>
    </row>
    <row r="229" spans="1:14" x14ac:dyDescent="0.25">
      <c r="A229" s="2" t="s">
        <v>583</v>
      </c>
      <c r="B229" s="2" t="s">
        <v>350</v>
      </c>
      <c r="C229" s="2">
        <v>14898</v>
      </c>
      <c r="D229" s="39">
        <v>44.48</v>
      </c>
      <c r="E229" s="39">
        <v>-88.13</v>
      </c>
      <c r="F229" s="2">
        <v>214</v>
      </c>
      <c r="G229" s="2">
        <v>3.5</v>
      </c>
      <c r="H229" s="2">
        <v>5.25</v>
      </c>
      <c r="I229" s="2">
        <v>5.99</v>
      </c>
      <c r="J229" s="46">
        <v>3.75</v>
      </c>
      <c r="K229" s="3">
        <v>-6</v>
      </c>
      <c r="L229" s="49">
        <v>1</v>
      </c>
      <c r="M229" s="3"/>
      <c r="N229" s="2"/>
    </row>
    <row r="230" spans="1:14" x14ac:dyDescent="0.25">
      <c r="A230" s="2" t="s">
        <v>584</v>
      </c>
      <c r="B230" s="2" t="s">
        <v>350</v>
      </c>
      <c r="C230" s="2">
        <v>14920</v>
      </c>
      <c r="D230" s="39">
        <v>43.87</v>
      </c>
      <c r="E230" s="39">
        <v>-91.25</v>
      </c>
      <c r="F230" s="2">
        <v>205</v>
      </c>
      <c r="G230" s="2">
        <v>3.58</v>
      </c>
      <c r="H230" s="2">
        <v>5.25</v>
      </c>
      <c r="I230" s="2">
        <v>6.08</v>
      </c>
      <c r="J230" s="46">
        <v>3.93</v>
      </c>
      <c r="K230" s="3">
        <v>-6</v>
      </c>
      <c r="L230" s="49">
        <v>1</v>
      </c>
      <c r="M230" s="3"/>
      <c r="N230" s="2"/>
    </row>
    <row r="231" spans="1:14" x14ac:dyDescent="0.25">
      <c r="A231" s="2" t="s">
        <v>581</v>
      </c>
      <c r="B231" s="2" t="s">
        <v>350</v>
      </c>
      <c r="C231" s="2">
        <v>14837</v>
      </c>
      <c r="D231" s="39">
        <v>43.13</v>
      </c>
      <c r="E231" s="39">
        <v>-89.33</v>
      </c>
      <c r="F231" s="2">
        <v>262</v>
      </c>
      <c r="G231" s="2">
        <v>3.57</v>
      </c>
      <c r="H231" s="2">
        <v>5.22</v>
      </c>
      <c r="I231" s="2">
        <v>6.11</v>
      </c>
      <c r="J231" s="46">
        <v>3.9</v>
      </c>
      <c r="K231" s="3">
        <v>-6</v>
      </c>
      <c r="L231" s="49">
        <v>1</v>
      </c>
      <c r="M231" s="3"/>
      <c r="N231" s="2"/>
    </row>
    <row r="232" spans="1:14" x14ac:dyDescent="0.25">
      <c r="A232" s="2" t="s">
        <v>582</v>
      </c>
      <c r="B232" s="2" t="s">
        <v>350</v>
      </c>
      <c r="C232" s="2">
        <v>14839</v>
      </c>
      <c r="D232" s="39">
        <v>42.95</v>
      </c>
      <c r="E232" s="39">
        <v>-87.9</v>
      </c>
      <c r="F232" s="2">
        <v>211</v>
      </c>
      <c r="G232" s="2">
        <v>3.33</v>
      </c>
      <c r="H232" s="2">
        <v>5.12</v>
      </c>
      <c r="I232" s="2">
        <v>6.14</v>
      </c>
      <c r="J232" s="46">
        <v>3.95</v>
      </c>
      <c r="K232" s="3">
        <v>-6</v>
      </c>
      <c r="L232" s="49">
        <v>1</v>
      </c>
      <c r="M232" s="3"/>
      <c r="N232" s="2"/>
    </row>
    <row r="233" spans="1:14" x14ac:dyDescent="0.25">
      <c r="A233" s="2" t="s">
        <v>588</v>
      </c>
      <c r="B233" s="2" t="s">
        <v>351</v>
      </c>
      <c r="C233" s="2">
        <v>13866</v>
      </c>
      <c r="D233" s="39">
        <v>38.369999999999997</v>
      </c>
      <c r="E233" s="39">
        <v>-81.599999999999994</v>
      </c>
      <c r="F233" s="2">
        <v>290</v>
      </c>
      <c r="G233" s="2">
        <v>3.07</v>
      </c>
      <c r="H233" s="2">
        <v>5.04</v>
      </c>
      <c r="I233" s="2">
        <v>5.77</v>
      </c>
      <c r="J233" s="46">
        <v>4.2</v>
      </c>
      <c r="K233" s="3">
        <v>-5</v>
      </c>
      <c r="L233" s="49">
        <v>1</v>
      </c>
      <c r="M233" s="3"/>
      <c r="N233" s="2"/>
    </row>
    <row r="234" spans="1:14" x14ac:dyDescent="0.25">
      <c r="A234" s="2" t="s">
        <v>587</v>
      </c>
      <c r="B234" s="2" t="s">
        <v>351</v>
      </c>
      <c r="C234" s="2">
        <v>13729</v>
      </c>
      <c r="D234" s="39">
        <v>38.880000000000003</v>
      </c>
      <c r="E234" s="39">
        <v>-79.849999999999994</v>
      </c>
      <c r="F234" s="2">
        <v>594</v>
      </c>
      <c r="G234" s="2">
        <v>2.97</v>
      </c>
      <c r="H234" s="2">
        <v>4.78</v>
      </c>
      <c r="I234" s="2">
        <v>5.5</v>
      </c>
      <c r="J234" s="46">
        <v>3.93</v>
      </c>
      <c r="K234" s="3">
        <v>-5</v>
      </c>
      <c r="L234" s="49">
        <v>1</v>
      </c>
      <c r="M234" s="3"/>
      <c r="N234" s="2"/>
    </row>
    <row r="235" spans="1:14" x14ac:dyDescent="0.25">
      <c r="A235" s="2" t="s">
        <v>586</v>
      </c>
      <c r="B235" s="2" t="s">
        <v>351</v>
      </c>
      <c r="C235" s="2">
        <v>3860</v>
      </c>
      <c r="D235" s="39">
        <v>38.369999999999997</v>
      </c>
      <c r="E235" s="39">
        <v>-82.55</v>
      </c>
      <c r="F235" s="2">
        <v>255</v>
      </c>
      <c r="G235" s="2">
        <v>3.06</v>
      </c>
      <c r="H235" s="2">
        <v>5.0199999999999996</v>
      </c>
      <c r="I235" s="2">
        <v>5.75</v>
      </c>
      <c r="J235" s="46">
        <v>4.1900000000000004</v>
      </c>
      <c r="K235" s="3">
        <v>-5</v>
      </c>
      <c r="L235" s="49">
        <v>1</v>
      </c>
      <c r="M235" s="3"/>
      <c r="N235" s="2"/>
    </row>
    <row r="236" spans="1:14" x14ac:dyDescent="0.25">
      <c r="A236" s="2" t="s">
        <v>593</v>
      </c>
      <c r="B236" s="2" t="s">
        <v>352</v>
      </c>
      <c r="C236" s="2">
        <v>24089</v>
      </c>
      <c r="D236" s="39">
        <v>42.92</v>
      </c>
      <c r="E236" s="39">
        <v>-106.47</v>
      </c>
      <c r="F236" s="2">
        <v>1612</v>
      </c>
      <c r="G236" s="2">
        <v>4.33</v>
      </c>
      <c r="H236" s="2">
        <v>5.77</v>
      </c>
      <c r="I236" s="2">
        <v>6.91</v>
      </c>
      <c r="J236" s="46">
        <v>5.24</v>
      </c>
      <c r="K236" s="3">
        <v>-7</v>
      </c>
      <c r="L236" s="49">
        <v>1</v>
      </c>
      <c r="M236" s="3"/>
      <c r="N236" s="2"/>
    </row>
    <row r="237" spans="1:14" x14ac:dyDescent="0.25">
      <c r="A237" s="2" t="s">
        <v>589</v>
      </c>
      <c r="B237" s="2" t="s">
        <v>352</v>
      </c>
      <c r="C237" s="2">
        <v>24018</v>
      </c>
      <c r="D237" s="39">
        <v>41.15</v>
      </c>
      <c r="E237" s="39">
        <v>-104.82</v>
      </c>
      <c r="F237" s="2">
        <v>1872</v>
      </c>
      <c r="G237" s="2">
        <v>4.55</v>
      </c>
      <c r="H237" s="2">
        <v>5.8</v>
      </c>
      <c r="I237" s="2">
        <v>6.58</v>
      </c>
      <c r="J237" s="46">
        <v>5.35</v>
      </c>
      <c r="K237" s="3">
        <v>-7</v>
      </c>
      <c r="L237" s="49">
        <v>1</v>
      </c>
      <c r="M237" s="3"/>
      <c r="N237" s="2"/>
    </row>
    <row r="238" spans="1:14" x14ac:dyDescent="0.25">
      <c r="A238" s="2" t="s">
        <v>590</v>
      </c>
      <c r="B238" s="2" t="s">
        <v>352</v>
      </c>
      <c r="C238" s="2">
        <v>24021</v>
      </c>
      <c r="D238" s="39">
        <v>42.82</v>
      </c>
      <c r="E238" s="39">
        <v>-108.73</v>
      </c>
      <c r="F238" s="2">
        <v>1696</v>
      </c>
      <c r="G238" s="2">
        <v>4.8099999999999996</v>
      </c>
      <c r="H238" s="2">
        <v>6.22</v>
      </c>
      <c r="I238" s="2">
        <v>6.98</v>
      </c>
      <c r="J238" s="46">
        <v>5.47</v>
      </c>
      <c r="K238" s="3">
        <v>-7</v>
      </c>
      <c r="L238" s="49">
        <v>1</v>
      </c>
      <c r="M238" s="3"/>
      <c r="N238" s="2"/>
    </row>
    <row r="239" spans="1:14" x14ac:dyDescent="0.25">
      <c r="A239" s="2" t="s">
        <v>591</v>
      </c>
      <c r="B239" s="2" t="s">
        <v>352</v>
      </c>
      <c r="C239" s="2">
        <v>24027</v>
      </c>
      <c r="D239" s="39">
        <v>41.6</v>
      </c>
      <c r="E239" s="39">
        <v>-109.07</v>
      </c>
      <c r="F239" s="2">
        <v>2056</v>
      </c>
      <c r="G239" s="2">
        <v>4.42</v>
      </c>
      <c r="H239" s="2">
        <v>6.01</v>
      </c>
      <c r="I239" s="2">
        <v>7.08</v>
      </c>
      <c r="J239" s="46">
        <v>5.48</v>
      </c>
      <c r="K239" s="3">
        <v>-7</v>
      </c>
      <c r="L239" s="49">
        <v>1</v>
      </c>
      <c r="M239" s="3"/>
      <c r="N239" s="2"/>
    </row>
    <row r="240" spans="1:14" x14ac:dyDescent="0.25">
      <c r="A240" s="2" t="s">
        <v>592</v>
      </c>
      <c r="B240" s="2" t="s">
        <v>352</v>
      </c>
      <c r="C240" s="2">
        <v>24029</v>
      </c>
      <c r="D240" s="39">
        <v>44.77</v>
      </c>
      <c r="E240" s="39">
        <v>-106.97</v>
      </c>
      <c r="F240" s="2">
        <v>1209</v>
      </c>
      <c r="G240" s="2">
        <v>3.92</v>
      </c>
      <c r="H240" s="2">
        <v>5.57</v>
      </c>
      <c r="I240" s="2">
        <v>6.7</v>
      </c>
      <c r="J240" s="46">
        <v>4.83</v>
      </c>
      <c r="K240" s="3">
        <v>-7</v>
      </c>
      <c r="L240" s="49">
        <v>1</v>
      </c>
      <c r="M240" s="3"/>
      <c r="N240" s="2"/>
    </row>
  </sheetData>
  <sheetProtection algorithmName="SHA-512" hashValue="R0iYHCzZQYXlkj2uQWtTq/UCPzQwp1OnlCN9R6rmCvgxbSJAnh4ZF5nnXNfVKV5F5ObDEHFs8MehqpA0FVyOEw==" saltValue="MJ1n1d/pDthmzkdhLztrng==" spinCount="100000" sheet="1" objects="1" scenarios="1"/>
  <sortState ref="A2:J240">
    <sortCondition ref="B2:B240"/>
    <sortCondition ref="A2:A240"/>
  </sortState>
  <conditionalFormatting sqref="A2:J240 K2:M2 K91 M91">
    <cfRule type="expression" dxfId="51" priority="52">
      <formula>MOD(ROW(),2)-1</formula>
    </cfRule>
  </conditionalFormatting>
  <conditionalFormatting sqref="N2:N53">
    <cfRule type="expression" dxfId="50" priority="51">
      <formula>MOD(ROW(),2)-1</formula>
    </cfRule>
  </conditionalFormatting>
  <conditionalFormatting sqref="K3:K25 M3:M25">
    <cfRule type="expression" dxfId="49" priority="50">
      <formula>MOD(ROW(),2)-1</formula>
    </cfRule>
  </conditionalFormatting>
  <conditionalFormatting sqref="K26:K29 M26:M29">
    <cfRule type="expression" dxfId="48" priority="49">
      <formula>MOD(ROW(),2)-1</formula>
    </cfRule>
  </conditionalFormatting>
  <conditionalFormatting sqref="K30:K39 M30:M39">
    <cfRule type="expression" dxfId="47" priority="48">
      <formula>MOD(ROW(),2)-1</formula>
    </cfRule>
  </conditionalFormatting>
  <conditionalFormatting sqref="K40:K45 M40:M45">
    <cfRule type="expression" dxfId="46" priority="47">
      <formula>MOD(ROW(),2)-1</formula>
    </cfRule>
  </conditionalFormatting>
  <conditionalFormatting sqref="K46 M46">
    <cfRule type="expression" dxfId="45" priority="46">
      <formula>MOD(ROW(),2)-1</formula>
    </cfRule>
  </conditionalFormatting>
  <conditionalFormatting sqref="K47 M47">
    <cfRule type="expression" dxfId="44" priority="45">
      <formula>MOD(ROW(),2)-1</formula>
    </cfRule>
  </conditionalFormatting>
  <conditionalFormatting sqref="K48 M48">
    <cfRule type="expression" dxfId="43" priority="44">
      <formula>MOD(ROW(),2)-1</formula>
    </cfRule>
  </conditionalFormatting>
  <conditionalFormatting sqref="K49 M49">
    <cfRule type="expression" dxfId="42" priority="43">
      <formula>MOD(ROW(),2)-1</formula>
    </cfRule>
  </conditionalFormatting>
  <conditionalFormatting sqref="K50 M50">
    <cfRule type="expression" dxfId="41" priority="42">
      <formula>MOD(ROW(),2)-1</formula>
    </cfRule>
  </conditionalFormatting>
  <conditionalFormatting sqref="K51 M51">
    <cfRule type="expression" dxfId="40" priority="41">
      <formula>MOD(ROW(),2)-1</formula>
    </cfRule>
  </conditionalFormatting>
  <conditionalFormatting sqref="K52 M52">
    <cfRule type="expression" dxfId="39" priority="40">
      <formula>MOD(ROW(),2)-1</formula>
    </cfRule>
  </conditionalFormatting>
  <conditionalFormatting sqref="K53 M53">
    <cfRule type="expression" dxfId="38" priority="39">
      <formula>MOD(ROW(),2)-1</formula>
    </cfRule>
  </conditionalFormatting>
  <conditionalFormatting sqref="K54 M54">
    <cfRule type="expression" dxfId="37" priority="38">
      <formula>MOD(ROW(),2)-1</formula>
    </cfRule>
  </conditionalFormatting>
  <conditionalFormatting sqref="K55:K61 M55:M61">
    <cfRule type="expression" dxfId="36" priority="37">
      <formula>MOD(ROW(),2)-1</formula>
    </cfRule>
  </conditionalFormatting>
  <conditionalFormatting sqref="K62:K80 M62:M80">
    <cfRule type="expression" dxfId="35" priority="36">
      <formula>MOD(ROW(),2)-1</formula>
    </cfRule>
  </conditionalFormatting>
  <conditionalFormatting sqref="K81:K84 K87 M87 M81:M84">
    <cfRule type="expression" dxfId="34" priority="35">
      <formula>MOD(ROW(),2)-1</formula>
    </cfRule>
  </conditionalFormatting>
  <conditionalFormatting sqref="K85:K86 M85:M86">
    <cfRule type="expression" dxfId="33" priority="34">
      <formula>MOD(ROW(),2)-1</formula>
    </cfRule>
  </conditionalFormatting>
  <conditionalFormatting sqref="K88 M88">
    <cfRule type="expression" dxfId="32" priority="33">
      <formula>MOD(ROW(),2)-1</formula>
    </cfRule>
  </conditionalFormatting>
  <conditionalFormatting sqref="K89 M89">
    <cfRule type="expression" dxfId="31" priority="32">
      <formula>MOD(ROW(),2)-1</formula>
    </cfRule>
  </conditionalFormatting>
  <conditionalFormatting sqref="K90 M90">
    <cfRule type="expression" dxfId="30" priority="31">
      <formula>MOD(ROW(),2)-1</formula>
    </cfRule>
  </conditionalFormatting>
  <conditionalFormatting sqref="K92 M92">
    <cfRule type="expression" dxfId="29" priority="30">
      <formula>MOD(ROW(),2)-1</formula>
    </cfRule>
  </conditionalFormatting>
  <conditionalFormatting sqref="K93 M93">
    <cfRule type="expression" dxfId="28" priority="29">
      <formula>MOD(ROW(),2)-1</formula>
    </cfRule>
  </conditionalFormatting>
  <conditionalFormatting sqref="K94 M94">
    <cfRule type="expression" dxfId="27" priority="28">
      <formula>MOD(ROW(),2)-1</formula>
    </cfRule>
  </conditionalFormatting>
  <conditionalFormatting sqref="K95 M95">
    <cfRule type="expression" dxfId="26" priority="27">
      <formula>MOD(ROW(),2)-1</formula>
    </cfRule>
  </conditionalFormatting>
  <conditionalFormatting sqref="K96:K105 M96:M105">
    <cfRule type="expression" dxfId="25" priority="26">
      <formula>MOD(ROW(),2)-1</formula>
    </cfRule>
  </conditionalFormatting>
  <conditionalFormatting sqref="K106:K109 M106:M109">
    <cfRule type="expression" dxfId="24" priority="25">
      <formula>MOD(ROW(),2)-1</formula>
    </cfRule>
  </conditionalFormatting>
  <conditionalFormatting sqref="K110:K113 K116 M116 M110:M113">
    <cfRule type="expression" dxfId="23" priority="24">
      <formula>MOD(ROW(),2)-1</formula>
    </cfRule>
  </conditionalFormatting>
  <conditionalFormatting sqref="K114:K115 M114:M115">
    <cfRule type="expression" dxfId="22" priority="23">
      <formula>MOD(ROW(),2)-1</formula>
    </cfRule>
  </conditionalFormatting>
  <conditionalFormatting sqref="K117:K125 M117:M125">
    <cfRule type="expression" dxfId="21" priority="22">
      <formula>MOD(ROW(),2)-1</formula>
    </cfRule>
  </conditionalFormatting>
  <conditionalFormatting sqref="K126:K131 K134 M134 M126:M131">
    <cfRule type="expression" dxfId="20" priority="21">
      <formula>MOD(ROW(),2)-1</formula>
    </cfRule>
  </conditionalFormatting>
  <conditionalFormatting sqref="K132:K133 M132:M133">
    <cfRule type="expression" dxfId="19" priority="20">
      <formula>MOD(ROW(),2)-1</formula>
    </cfRule>
  </conditionalFormatting>
  <conditionalFormatting sqref="K135:K151 M135:M151">
    <cfRule type="expression" dxfId="18" priority="19">
      <formula>MOD(ROW(),2)-1</formula>
    </cfRule>
  </conditionalFormatting>
  <conditionalFormatting sqref="K152:K156 M152:M156">
    <cfRule type="expression" dxfId="17" priority="18">
      <formula>MOD(ROW(),2)-1</formula>
    </cfRule>
  </conditionalFormatting>
  <conditionalFormatting sqref="K157:K164 K166 M166 M157:M164">
    <cfRule type="expression" dxfId="16" priority="17">
      <formula>MOD(ROW(),2)-1</formula>
    </cfRule>
  </conditionalFormatting>
  <conditionalFormatting sqref="K165 M165">
    <cfRule type="expression" dxfId="15" priority="16">
      <formula>MOD(ROW(),2)-1</formula>
    </cfRule>
  </conditionalFormatting>
  <conditionalFormatting sqref="K167:K175 M167:M175">
    <cfRule type="expression" dxfId="14" priority="15">
      <formula>MOD(ROW(),2)-1</formula>
    </cfRule>
  </conditionalFormatting>
  <conditionalFormatting sqref="K176:K189 M176:M189">
    <cfRule type="expression" dxfId="13" priority="14">
      <formula>MOD(ROW(),2)-1</formula>
    </cfRule>
  </conditionalFormatting>
  <conditionalFormatting sqref="K190:K192 M190:M192">
    <cfRule type="expression" dxfId="12" priority="13">
      <formula>MOD(ROW(),2)-1</formula>
    </cfRule>
  </conditionalFormatting>
  <conditionalFormatting sqref="K193 M193">
    <cfRule type="expression" dxfId="11" priority="12">
      <formula>MOD(ROW(),2)-1</formula>
    </cfRule>
  </conditionalFormatting>
  <conditionalFormatting sqref="K194 M194">
    <cfRule type="expression" dxfId="10" priority="11">
      <formula>MOD(ROW(),2)-1</formula>
    </cfRule>
  </conditionalFormatting>
  <conditionalFormatting sqref="K195 M195">
    <cfRule type="expression" dxfId="9" priority="10">
      <formula>MOD(ROW(),2)-1</formula>
    </cfRule>
  </conditionalFormatting>
  <conditionalFormatting sqref="K196 M196">
    <cfRule type="expression" dxfId="8" priority="9">
      <formula>MOD(ROW(),2)-1</formula>
    </cfRule>
  </conditionalFormatting>
  <conditionalFormatting sqref="K197 M197">
    <cfRule type="expression" dxfId="7" priority="8">
      <formula>MOD(ROW(),2)-1</formula>
    </cfRule>
  </conditionalFormatting>
  <conditionalFormatting sqref="K198 M198">
    <cfRule type="expression" dxfId="6" priority="7">
      <formula>MOD(ROW(),2)-1</formula>
    </cfRule>
  </conditionalFormatting>
  <conditionalFormatting sqref="K199:K215 K217:K218 M217:M218 M199:M215">
    <cfRule type="expression" dxfId="5" priority="6">
      <formula>MOD(ROW(),2)-1</formula>
    </cfRule>
  </conditionalFormatting>
  <conditionalFormatting sqref="K216 M216">
    <cfRule type="expression" dxfId="4" priority="5">
      <formula>MOD(ROW(),2)-1</formula>
    </cfRule>
  </conditionalFormatting>
  <conditionalFormatting sqref="K219:K223 M219:M223">
    <cfRule type="expression" dxfId="3" priority="4">
      <formula>MOD(ROW(),2)-1</formula>
    </cfRule>
  </conditionalFormatting>
  <conditionalFormatting sqref="K224:K228 M224:M228">
    <cfRule type="expression" dxfId="2" priority="3">
      <formula>MOD(ROW(),2)-1</formula>
    </cfRule>
  </conditionalFormatting>
  <conditionalFormatting sqref="K229:K240 M229:M240">
    <cfRule type="expression" dxfId="1" priority="2">
      <formula>MOD(ROW(),2)-1</formula>
    </cfRule>
  </conditionalFormatting>
  <conditionalFormatting sqref="L3:L240">
    <cfRule type="expression" dxfId="0" priority="1">
      <formula>MOD(ROW(),2)-1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"/>
  <sheetViews>
    <sheetView workbookViewId="0">
      <selection activeCell="A2" sqref="A2"/>
    </sheetView>
  </sheetViews>
  <sheetFormatPr defaultRowHeight="15" x14ac:dyDescent="0.25"/>
  <cols>
    <col min="1" max="1" width="11.7109375" customWidth="1"/>
    <col min="2" max="2" width="11.85546875" customWidth="1"/>
    <col min="3" max="3" width="15.7109375" customWidth="1"/>
    <col min="4" max="4" width="11.28515625" customWidth="1"/>
    <col min="5" max="5" width="10.42578125" customWidth="1"/>
    <col min="6" max="6" width="12" customWidth="1"/>
    <col min="7" max="7" width="11.5703125" customWidth="1"/>
    <col min="8" max="8" width="10.140625" customWidth="1"/>
    <col min="10" max="10" width="10.5703125" customWidth="1"/>
  </cols>
  <sheetData>
    <row r="1" spans="1:34" ht="42" customHeight="1" x14ac:dyDescent="0.25">
      <c r="A1" s="17" t="s">
        <v>614</v>
      </c>
      <c r="B1" s="17" t="s">
        <v>615</v>
      </c>
      <c r="C1" s="17" t="s">
        <v>616</v>
      </c>
      <c r="D1" s="17" t="s">
        <v>617</v>
      </c>
      <c r="E1" s="17" t="s">
        <v>618</v>
      </c>
      <c r="F1" s="17" t="s">
        <v>619</v>
      </c>
      <c r="G1" s="47"/>
      <c r="H1" s="44"/>
      <c r="I1" s="44"/>
      <c r="J1" s="47"/>
      <c r="K1" s="44"/>
      <c r="L1" s="44"/>
      <c r="M1" s="44"/>
      <c r="N1" s="44"/>
      <c r="O1" s="44"/>
      <c r="P1" s="44"/>
      <c r="Q1" s="44"/>
      <c r="R1" s="47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34" x14ac:dyDescent="0.25">
      <c r="A2" s="66">
        <f ca="1">TODAY()+2415018.5+(NOW() - TODAY())-(IF(Costs!$B$20="",VLOOKUP("SAN FRANCISCO, CA",NREL!$A$2:$K$240,11,FALSE),(VLOOKUP(Costs!$B$20,NREL!$A$2:$K$240,11,FALSE)+1)))/24</f>
        <v>2457921.2164666667</v>
      </c>
      <c r="B2" s="67">
        <f ca="1">(A2-2451545)/36525</f>
        <v>0.17457129272187993</v>
      </c>
      <c r="C2" s="11">
        <f ca="1">357.52911+B2*(35999.05029 - 0.0001537*B2)</f>
        <v>6641.9298512012383</v>
      </c>
      <c r="D2" s="11">
        <f ca="1">(23+(26+((21.448-B2*(46.815+B2*(0.00059-B2*0.001813))))/60)/60)+0.00256*COS(RADIANS(125.04-1934.136*B2))</f>
        <v>23.434864387739541</v>
      </c>
      <c r="E2" s="68">
        <f ca="1">(((720-4*(IF(Costs!$B$20="",VLOOKUP("SAN FRANCISCO, CA",NREL!$A$2:$J$240,5,FALSE),VLOOKUP(Costs!$B$20,NREL!$A$2:$J$240,5,FALSE)))-(4*DEGREES((TAN(RADIANS(D2/2))*TAN(RADIANS(D2/2)))*SIN(2*RADIANS(MOD(280.46646+B2*(36000.76983 + B2*0.0003032),360)))-2*(0.016708634-B2*(0.000042037+0.0000001267*B2))*SIN(RADIANS(C2))+4*(0.016708634-B2*(0.000042037+0.0000001267*B2))*(TAN(RADIANS(D2/2))*TAN(RADIANS(D2/2)))*SIN(RADIANS(C2))*COS(2*RADIANS(MOD(280.46646+B2*(36000.76983 + B2*0.0003032),360)))-0.5*(TAN(RADIANS(D2/2))*TAN(RADIANS(D2/2)))*(TAN(RADIANS(D2/2))*TAN(RADIANS(D2/2)))*SIN(4*RADIANS(MOD(280.46646+B2*(36000.76983 + B2*0.0003032),360)))-1.25*(0.016708634-B2*(0.000042037+0.0000001267*B2))*(0.016708634-B2*(0.000042037+0.0000001267*B2))*SIN(2*RADIANS(C2))))+(IF(Costs!$B$20="",VLOOKUP("SAN FRANCISCO, CA",NREL!$A$2:$K$240,11,FALSE),(VLOOKUP(Costs!$B$20,NREL!$A$2:$K$240,11,FALSE)+(IF(MATCH(TODAY(),DATE(YEAR(TODAY()),{1,3,11},{1,15,8})-WEEKDAY(DATE(YEAR(TODAY()),{1,3,11},7)))=2,IF(Costs!$B$20="",VLOOKUP("SAN FRANCISCO, CA",NREL!$A$2:$L$240,12,FALSE),VLOOKUP(Costs!$B$20,NREL!$A$2:$L$240,12,FALSE)),0)))))*60)/1440)*1440-(
   IF((COS(RADIANS(90.833)) / (COS(RADIANS(IF(Costs!$B$20="",VLOOKUP("SAN FRANCISCO, CA",NREL!$A$2:$J$240,4,FALSE),VLOOKUP(Costs!$B$20,NREL!$A$2:$J$240,4,FALSE))))* COS(RADIANS(DEGREES(ASIN(SIN(RADIANS(D2))*SIN(RADIANS(((MOD(280.46646+B2*(36000.76983 + B2*0.0003032),360)) + (SIN(RADIANS(C2))*(1.914602-B2*(0.004817+0.000014*B2))+SIN(RADIANS(2*C2))*(0.019993-0.000101*B2)+SIN(RADIANS(3*C2))*0.000289))-0.00569-0.00478*SIN(RADIANS(125.04-1934.136*B2)))))))))-TAN(RADIANS(IF(Costs!$B$20="",VLOOKUP("SAN FRANCISCO, CA",NREL!$A$2:$J$240,4,FALSE),VLOOKUP(Costs!$B$20,NREL!$A$2:$J$240,4,FALSE)))) * TAN(RADIANS(DEGREES(ASIN(SIN(RADIANS(D2))*SIN(RADIANS(((MOD(280.46646+B2*(36000.76983 + B2*0.0003032),360)) + (SIN(RADIANS(C2))*(1.914602-B2*(0.004817+0.000014*B2))+SIN(RADIANS(2*C2))*(0.019993-0.000101*B2)+SIN(RADIANS(3*C2))*0.000289))-0.00569-0.00478*SIN(RADIANS(125.04-1934.136*B2)))))))))&gt;1,0,
      IF((COS(RADIANS(90.833)) / (COS(RADIANS(IF(Costs!$B$20="",VLOOKUP("SAN FRANCISCO, CA",NREL!$A$2:$J$240,4,FALSE),VLOOKUP(Costs!$B$20,NREL!$A$2:$J$240,4,FALSE)))) * COS(RADIANS(DEGREES(ASIN(SIN(RADIANS(D2))*SIN(RADIANS(((MOD(280.46646+B2*(36000.76983 + B2*0.0003032),360)) + (SIN(RADIANS(C2))*(1.914602-B2*(0.004817+0.000014*B2))+SIN(RADIANS(2*C2))*(0.019993-0.000101*B2)+SIN(RADIANS(3*C2))*0.000289))-0.00569-0.00478*SIN(RADIANS(125.04-1934.136*B2))))))))) - TAN(RADIANS(IF(Costs!$B$20="",VLOOKUP("SAN FRANCISCO, CA",NREL!$A$2:$J$240,4,FALSE),VLOOKUP(Costs!$B$20,NREL!$A$2:$J$240,4,FALSE)))) * TAN(RADIANS(DEGREES(ASIN(SIN(RADIANS(D2))*SIN(RADIANS(((MOD(280.46646+B2*(36000.76983 + B2*0.0003032),360)) + (SIN(RADIANS(C2))*(1.914602-B2*(0.004817+0.000014*B2))+SIN(RADIANS(2*C2))*(0.019993-0.000101*B2)+SIN(RADIANS(3*C2))*0.000289))-0.00569-0.00478*SIN(RADIANS(125.04-1934.136*B2)))))))))&lt;-1,0,
         DEGREES(ACOS(COS(RADIANS(90.833)) / (COS(RADIANS(IF(Costs!$B$20="",VLOOKUP("SAN FRANCISCO, CA",NREL!$A$2:$J$240,4,FALSE),VLOOKUP(Costs!$B$20,NREL!$A$2:$J$240,4,FALSE))))* COS(RADIANS(DEGREES(ASIN(SIN(RADIANS(D2))*SIN(RADIANS(((MOD(280.46646+B2*(36000.76983 + B2*0.0003032),360)) + (SIN(RADIANS(C2))*(1.914602-B2*(0.004817+0.000014*B2))+SIN(RADIANS(2*C2))*(0.019993-0.000101*B2)+SIN(RADIANS(3*C2))*0.000289))-0.00569-0.00478*SIN(RADIANS(125.04-1934.136*B2))))))))) - TAN(RADIANS(IF(Costs!$B$20="",VLOOKUP("SAN FRANCISCO, CA",NREL!$A$2:$J$240,4,FALSE),VLOOKUP(Costs!$B$20,NREL!$A$2:$J$240,4,FALSE)))) * TAN(RADIANS(DEGREES(ASIN(SIN(RADIANS(D2))*SIN(RADIANS(((MOD(280.46646+B2*(36000.76983 + B2*0.0003032),360)) + (SIN(RADIANS(C2))*(1.914602-B2*(0.004817+0.000014*B2))+SIN(RADIANS(2*C2))*(0.019993-0.000101*B2)+SIN(RADIANS(3*C2))*0.000289))-0.00569-0.00478*SIN(RADIANS(125.04-1934.136*B2)))))))))))))*4)/1440</f>
        <v>0.24142487537967733</v>
      </c>
      <c r="F2" s="68">
        <f ca="1">(((720-4*(IF(Costs!$B$20="",VLOOKUP("SAN FRANCISCO, CA",NREL!$A$2:$J$240,5,FALSE),VLOOKUP(Costs!$B$20,NREL!$A$2:$J$240,5,FALSE)))-(4*DEGREES((TAN(RADIANS(D2/2))*TAN(RADIANS(D2/2)))*SIN(2*RADIANS(MOD(280.46646+B2*(36000.76983 + B2*0.0003032),360)))-2*(0.016708634-B2*(0.000042037+0.0000001267*B2))*SIN(RADIANS(C2))+4*(0.016708634-B2*(0.000042037+0.0000001267*B2))*(TAN(RADIANS(D2/2))*TAN(RADIANS(D2/2)))*SIN(RADIANS(C2))*COS(2*RADIANS(MOD(280.46646+B2*(36000.76983 + B2*0.0003032),360)))-0.5*(TAN(RADIANS(D2/2))*TAN(RADIANS(D2/2)))*(TAN(RADIANS(D2/2))*TAN(RADIANS(D2/2)))*SIN(4*RADIANS(MOD(280.46646+B2*(36000.76983 + B2*0.0003032),360)))-1.25*(0.016708634-B2*(0.000042037+0.0000001267*B2))*(0.016708634-B2*(0.000042037+0.0000001267*B2))*SIN(2*RADIANS(C2))))+(IF(Costs!$B$20="",VLOOKUP("SAN FRANCISCO, CA",NREL!$A$2:$K$240,11,FALSE),(VLOOKUP(Costs!$B$20,NREL!$A$2:$K$240,11,FALSE)+(IF(MATCH(TODAY(),DATE(YEAR(TODAY()),{1,3,11},{1,15,8})-WEEKDAY(DATE(YEAR(TODAY()),{1,3,11},7)))=2,IF(Costs!$B$20="",VLOOKUP("SAN FRANCISCO, CA",NREL!$A$2:$L$240,12,FALSE),VLOOKUP(Costs!$B$20,NREL!$A$2:$L$240,12,FALSE)),0)))))*60)/1440)*1440+(
   IF((COS(RADIANS(90.833)) / (COS(RADIANS(IF(Costs!$B$20="",VLOOKUP("SAN FRANCISCO, CA",NREL!$A$2:$J$240,4,FALSE),VLOOKUP(Costs!$B$20,NREL!$A$2:$J$240,4,FALSE)))) * COS(RADIANS(DEGREES(ASIN(SIN(RADIANS(D2))*SIN(RADIANS(((MOD(280.46646+B2*(36000.76983 + B2*0.0003032),360)) + (SIN(RADIANS(C2))*(1.914602-B2*(0.004817+0.000014*B2))+SIN(RADIANS(2*C2))*(0.019993-0.000101*B2)+SIN(RADIANS(3*C2))*0.000289))-0.00569-0.00478*SIN(RADIANS(125.04-1934.136*B2))))))))) - TAN(RADIANS(IF(Costs!$B$20="",VLOOKUP("SAN FRANCISCO, CA",NREL!$A$2:$J$240,4,FALSE),VLOOKUP(Costs!$B$20,NREL!$A$2:$J$240,4,FALSE)))) * TAN(RADIANS(DEGREES(ASIN(SIN(RADIANS(D2))*SIN(RADIANS(((MOD(280.46646+B2*(36000.76983 + B2*0.0003032),360)) + (SIN(RADIANS(C2))*(1.914602-B2*(0.004817+0.000014*B2))+SIN(RADIANS(2*C2))*(0.019993-0.000101*B2)+SIN(RADIANS(3*C2))*0.000289))-0.00569-0.00478*SIN(RADIANS(125.04-1934.136*B2)))))))))&gt;1,0,
      IF((COS(RADIANS(90.833)) / (COS(RADIANS(IF(Costs!$B$20="",VLOOKUP("SAN FRANCISCO, CA",NREL!$A$2:$J$240,4,FALSE),VLOOKUP(Costs!$B$20,NREL!$A$2:$J$240,4,FALSE))))* COS(RADIANS(DEGREES(ASIN(SIN(RADIANS(D2))*SIN(RADIANS(((MOD(280.46646+B2*(36000.76983 + B2*0.0003032),360)) + (SIN(RADIANS(C2))*(1.914602-B2*(0.004817+0.000014*B2))+SIN(RADIANS(2*C2))*(0.019993-0.000101*B2)+SIN(RADIANS(3*C2))*0.000289))-0.00569-0.00478*SIN(RADIANS(125.04-1934.136*B2))))))))) - TAN(RADIANS(IF(Costs!$B$20="",VLOOKUP("SAN FRANCISCO, CA",NREL!$A$2:$J$240,4,FALSE),VLOOKUP(Costs!$B$20,NREL!$A$2:$J$240,4,FALSE)))) * TAN(RADIANS(DEGREES(ASIN(SIN(RADIANS(D2))*SIN(RADIANS(((MOD(280.46646+B2*(36000.76983 + B2*0.0003032),360)) + (SIN(RADIANS(C2))*(1.914602-B2*(0.004817+0.000014*B2))+SIN(RADIANS(2*C2))*(0.019993-0.000101*B2)+SIN(RADIANS(3*C2))*0.000289))-0.00569-0.00478*SIN(RADIANS(125.04-1934.136*B2)))))))))&lt;-1,0,
         DEGREES(ACOS(COS(RADIANS(90.833)) / (COS(RADIANS(IF(Costs!$B$20="",VLOOKUP("SAN FRANCISCO, CA",NREL!$A$2:$J$240,4,FALSE),VLOOKUP(Costs!$B$20,NREL!$A$2:$J$240,4,FALSE)))) * COS(RADIANS(DEGREES(ASIN(SIN(RADIANS(D2))*SIN(RADIANS(((MOD(280.46646+B2*(36000.76983 + B2*0.0003032),360)) + (SIN(RADIANS(C2))*(1.914602-B2*(0.004817+0.000014*B2))+SIN(RADIANS(2*C2))*(0.019993-0.000101*B2)+SIN(RADIANS(3*C2))*0.000289))-0.00569-0.00478*SIN(RADIANS(125.04-1934.136*B2))))))))) - TAN(RADIANS(IF(Costs!$B$20="",VLOOKUP("SAN FRANCISCO, CA",NREL!$A$2:$J$240,4,FALSE),VLOOKUP(Costs!$B$20,NREL!$A$2:$J$240,4,FALSE)))) * TAN(RADIANS(DEGREES(ASIN(SIN(RADIANS(D2))*SIN(RADIANS(((MOD(280.46646+B2*(36000.76983 + B2*0.0003032),360)) + (SIN(RADIANS(C2))*(1.914602-B2*(0.004817+0.000014*B2))+SIN(RADIANS(2*C2))*(0.019993-0.000101*B2)+SIN(RADIANS(3*C2))*0.000289))-0.00569-0.00478*SIN(RADIANS(125.04-1934.136*B2)))))))))))))*4)/1440</f>
        <v>0.85624648387382851</v>
      </c>
    </row>
    <row r="3" spans="1:34" x14ac:dyDescent="0.25">
      <c r="A3" s="69"/>
      <c r="B3" s="57"/>
      <c r="C3" s="57"/>
      <c r="D3" s="57"/>
      <c r="E3" s="57"/>
      <c r="F3" s="57"/>
    </row>
    <row r="4" spans="1:34" x14ac:dyDescent="0.25">
      <c r="A4" s="57"/>
      <c r="B4" s="57"/>
      <c r="C4" s="57"/>
      <c r="D4" s="57"/>
      <c r="E4" s="57"/>
      <c r="F4" s="57"/>
    </row>
    <row r="5" spans="1:34" x14ac:dyDescent="0.25">
      <c r="A5" s="57" t="s">
        <v>628</v>
      </c>
      <c r="B5" s="57"/>
      <c r="C5" s="57"/>
      <c r="D5" s="57"/>
      <c r="E5" s="57"/>
      <c r="F5" s="57"/>
    </row>
    <row r="6" spans="1:34" x14ac:dyDescent="0.25">
      <c r="A6" s="70" t="s">
        <v>627</v>
      </c>
      <c r="B6" s="57"/>
      <c r="C6" s="57"/>
      <c r="D6" s="57"/>
      <c r="E6" s="57"/>
      <c r="F6" s="57"/>
    </row>
    <row r="7" spans="1:34" x14ac:dyDescent="0.25">
      <c r="A7" s="57"/>
      <c r="B7" s="57"/>
      <c r="C7" s="57"/>
      <c r="D7" s="57"/>
      <c r="E7" s="57"/>
      <c r="F7" s="57"/>
    </row>
  </sheetData>
  <sheetProtection algorithmName="SHA-512" hashValue="/tN9hHHoA1u/J3IbzBzoev9j1m0qMaFZkktdhVlPJE1o45TYo8/LJM4pexjQ9VXOi784mzxAn5dfwehZZ3JWQA==" saltValue="VE1wFGtyUdPUyk5h/xIv9g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53</vt:i4>
      </vt:variant>
    </vt:vector>
  </HeadingPairs>
  <TitlesOfParts>
    <vt:vector size="59" baseType="lpstr">
      <vt:lpstr>Usage</vt:lpstr>
      <vt:lpstr>Costs</vt:lpstr>
      <vt:lpstr>Sizing</vt:lpstr>
      <vt:lpstr>Components</vt:lpstr>
      <vt:lpstr>NREL</vt:lpstr>
      <vt:lpstr>SunriseSunset</vt:lpstr>
      <vt:lpstr>AK</vt:lpstr>
      <vt:lpstr>AL</vt:lpstr>
      <vt:lpstr>AR</vt:lpstr>
      <vt:lpstr>AZ</vt:lpstr>
      <vt:lpstr>CA</vt:lpstr>
      <vt:lpstr>CO</vt:lpstr>
      <vt:lpstr>CT</vt:lpstr>
      <vt:lpstr>DE</vt:lpstr>
      <vt:lpstr>FL</vt:lpstr>
      <vt:lpstr>GA</vt:lpstr>
      <vt:lpstr>HI</vt:lpstr>
      <vt:lpstr>IA</vt:lpstr>
      <vt:lpstr>ID</vt:lpstr>
      <vt:lpstr>IL</vt:lpstr>
      <vt:lpstr>IN</vt:lpstr>
      <vt:lpstr>KS</vt:lpstr>
      <vt:lpstr>KY</vt:lpstr>
      <vt:lpstr>LA</vt:lpstr>
      <vt:lpstr>MA</vt:lpstr>
      <vt:lpstr>MD</vt:lpstr>
      <vt:lpstr>ME</vt:lpstr>
      <vt:lpstr>MI</vt:lpstr>
      <vt:lpstr>MN</vt:lpstr>
      <vt:lpstr>MO</vt:lpstr>
      <vt:lpstr>MS</vt:lpstr>
      <vt:lpstr>MT</vt:lpstr>
      <vt:lpstr>NC</vt:lpstr>
      <vt:lpstr>ND</vt:lpstr>
      <vt:lpstr>NE</vt:lpstr>
      <vt:lpstr>NH</vt:lpstr>
      <vt:lpstr>NJ</vt:lpstr>
      <vt:lpstr>NM</vt:lpstr>
      <vt:lpstr>NV</vt:lpstr>
      <vt:lpstr>NY</vt:lpstr>
      <vt:lpstr>OH</vt:lpstr>
      <vt:lpstr>OK</vt:lpstr>
      <vt:lpstr>OR</vt:lpstr>
      <vt:lpstr>PA</vt:lpstr>
      <vt:lpstr>PI</vt:lpstr>
      <vt:lpstr>PR</vt:lpstr>
      <vt:lpstr>RI</vt:lpstr>
      <vt:lpstr>SC</vt:lpstr>
      <vt:lpstr>SD</vt:lpstr>
      <vt:lpstr>State</vt:lpstr>
      <vt:lpstr>TN</vt:lpstr>
      <vt:lpstr>TX</vt:lpstr>
      <vt:lpstr>UT</vt:lpstr>
      <vt:lpstr>VA</vt:lpstr>
      <vt:lpstr>VT</vt:lpstr>
      <vt:lpstr>WA</vt:lpstr>
      <vt:lpstr>WI</vt:lpstr>
      <vt:lpstr>WV</vt:lpstr>
      <vt:lpstr>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Kinoshita</dc:creator>
  <cp:lastModifiedBy>Rachel Kinoshita</cp:lastModifiedBy>
  <dcterms:created xsi:type="dcterms:W3CDTF">2017-05-18T04:26:31Z</dcterms:created>
  <dcterms:modified xsi:type="dcterms:W3CDTF">2017-06-16T17:17:28Z</dcterms:modified>
</cp:coreProperties>
</file>